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9215" windowHeight="18195" tabRatio="554" activeTab="0"/>
  </bookViews>
  <sheets>
    <sheet name="Bedienung - Mode d'emploi" sheetId="1" r:id="rId1"/>
    <sheet name="Runden - Tours" sheetId="2" r:id="rId2"/>
    <sheet name="Rangliste - Classement" sheetId="3" r:id="rId3"/>
    <sheet name="Tableau" sheetId="4" r:id="rId4"/>
    <sheet name="Reglement - Règlement" sheetId="5" state="hidden" r:id="rId5"/>
    <sheet name="calculations" sheetId="6" state="veryHidden" r:id="rId6"/>
    <sheet name="rangs" sheetId="7" state="veryHidden" r:id="rId7"/>
    <sheet name="translate" sheetId="8" state="veryHidden" r:id="rId8"/>
  </sheets>
  <definedNames>
    <definedName name="ClubsList">'translate'!$B$57:$B$72</definedName>
    <definedName name="ClubVille">'translate'!$D$57:$D$72</definedName>
    <definedName name="_xlnm.Print_Area" localSheetId="5">'calculations'!$AZ:$BE</definedName>
    <definedName name="_xlnm.Print_Area" localSheetId="2">'Rangliste - Classement'!$C$3:$AL$32</definedName>
    <definedName name="_xlnm.Print_Area" localSheetId="1">'Runden - Tours'!$B$12:$Z$46</definedName>
    <definedName name="_xlnm.Print_Area" localSheetId="3">'Tableau'!$C$3:$AJ$38</definedName>
    <definedName name="ListCategorie">'translate'!$B$38:$B$44</definedName>
    <definedName name="listDisipline">'translate'!$B$29:$B$36</definedName>
    <definedName name="ListeCatégorie">'translate'!$O$3:$O$11</definedName>
    <definedName name="ListeDiscipline">'translate'!$L$3:$L$10</definedName>
    <definedName name="ListeTable">'translate'!$U$3:$U$5</definedName>
    <definedName name="ListeTour">'translate'!$R$3:$R$6</definedName>
    <definedName name="ListeVille">'translate'!$K$3:$K$18</definedName>
    <definedName name="ListTours">'translate'!$B$52:$B$55</definedName>
    <definedName name="LogoClub">OFFSET('translate'!$C$57,'translate'!$E$57,0)</definedName>
  </definedNames>
  <calcPr fullCalcOnLoad="1"/>
</workbook>
</file>

<file path=xl/sharedStrings.xml><?xml version="1.0" encoding="utf-8"?>
<sst xmlns="http://schemas.openxmlformats.org/spreadsheetml/2006/main" count="585" uniqueCount="321">
  <si>
    <t>Saison</t>
  </si>
  <si>
    <t>Direction</t>
  </si>
  <si>
    <t>PM</t>
  </si>
  <si>
    <t>Pts</t>
  </si>
  <si>
    <t>rep.</t>
  </si>
  <si>
    <t>MG</t>
  </si>
  <si>
    <t>MP</t>
  </si>
  <si>
    <t>Série</t>
  </si>
  <si>
    <t>rang</t>
  </si>
  <si>
    <t>pt</t>
  </si>
  <si>
    <t>série</t>
  </si>
  <si>
    <t>Club</t>
  </si>
  <si>
    <t>Meilleure MP</t>
  </si>
  <si>
    <t>Meilleure MG</t>
  </si>
  <si>
    <t>Meilleure Série</t>
  </si>
  <si>
    <t>Moyenne tournoi :</t>
  </si>
  <si>
    <t>CHAMPIONNAT INDIVIDUEL FSB – RESULTATS</t>
  </si>
  <si>
    <t>.</t>
  </si>
  <si>
    <t>Points</t>
  </si>
  <si>
    <t>Tour 1</t>
  </si>
  <si>
    <t>Table 1</t>
  </si>
  <si>
    <t>Table 2</t>
  </si>
  <si>
    <t>Table 3</t>
  </si>
  <si>
    <t>Tour 2</t>
  </si>
  <si>
    <t>Tour 3</t>
  </si>
  <si>
    <t>Tour 4</t>
  </si>
  <si>
    <t>Tour 5</t>
  </si>
  <si>
    <t>Rep</t>
  </si>
  <si>
    <t>Date</t>
  </si>
  <si>
    <t>ID</t>
  </si>
  <si>
    <t>Datum</t>
  </si>
  <si>
    <t>Spieler</t>
  </si>
  <si>
    <t>Runde</t>
  </si>
  <si>
    <t>Punkte</t>
  </si>
  <si>
    <t>Serie</t>
  </si>
  <si>
    <t>WP</t>
  </si>
  <si>
    <t>Rang</t>
  </si>
  <si>
    <t>Nb de decimal /arrondi</t>
  </si>
  <si>
    <t>3 bandes</t>
  </si>
  <si>
    <t>1 bande</t>
  </si>
  <si>
    <t>LNA</t>
  </si>
  <si>
    <t>LNB</t>
  </si>
  <si>
    <t>LR</t>
  </si>
  <si>
    <t>LR1</t>
  </si>
  <si>
    <t>LR2</t>
  </si>
  <si>
    <t>Cadre 47/1</t>
  </si>
  <si>
    <t>Cadre 71/2</t>
  </si>
  <si>
    <t>Cadre 42/2</t>
  </si>
  <si>
    <t>Cadre 47/2</t>
  </si>
  <si>
    <t>ED</t>
  </si>
  <si>
    <t>Aufn</t>
  </si>
  <si>
    <t>Tumierleiter</t>
  </si>
  <si>
    <t>Points/reprises</t>
  </si>
  <si>
    <t>Punkte/Aufn.</t>
  </si>
  <si>
    <t>Spielart</t>
  </si>
  <si>
    <t>e</t>
  </si>
  <si>
    <t>i</t>
  </si>
  <si>
    <t>layout</t>
  </si>
  <si>
    <t>sprache</t>
  </si>
  <si>
    <t>Spieldistanz</t>
  </si>
  <si>
    <t>1. Runde</t>
  </si>
  <si>
    <t>2. Runde</t>
  </si>
  <si>
    <t>3. Runde</t>
  </si>
  <si>
    <t>4. Runde</t>
  </si>
  <si>
    <t>5. Runde</t>
  </si>
  <si>
    <t>Tisch 1</t>
  </si>
  <si>
    <t>Tisch 2</t>
  </si>
  <si>
    <t>Tisch 3</t>
  </si>
  <si>
    <t>Frei</t>
  </si>
  <si>
    <t>Einband</t>
  </si>
  <si>
    <t>Dreiband</t>
  </si>
  <si>
    <t>Veteranen</t>
  </si>
  <si>
    <t>Junioren</t>
  </si>
  <si>
    <t>Kategorie</t>
  </si>
  <si>
    <t>Moyenne tournoi</t>
  </si>
  <si>
    <t>Turnierschnitt</t>
  </si>
  <si>
    <r>
      <t>1</t>
    </r>
    <r>
      <rPr>
        <vertAlign val="superscript"/>
        <sz val="10"/>
        <rFont val="Arial"/>
        <family val="2"/>
      </rPr>
      <t>er</t>
    </r>
    <r>
      <rPr>
        <sz val="10"/>
        <rFont val="Arial"/>
        <family val="2"/>
      </rPr>
      <t xml:space="preserve"> tour</t>
    </r>
  </si>
  <si>
    <t>2e tour</t>
  </si>
  <si>
    <t>Aarauer Billard-Club</t>
  </si>
  <si>
    <t>Basler Billard-Club</t>
  </si>
  <si>
    <t>Billard-Club Bern</t>
  </si>
  <si>
    <t>Carambole Billard Bienne</t>
  </si>
  <si>
    <t>CBVN Colombier</t>
  </si>
  <si>
    <t>Billard-Club Fribourg</t>
  </si>
  <si>
    <t>Sport Billard Club Genève</t>
  </si>
  <si>
    <t>La Chaux-de-Fonds</t>
  </si>
  <si>
    <t>ALB Lausanne</t>
  </si>
  <si>
    <t>Billard-Club Luzern</t>
  </si>
  <si>
    <t>Club de billard Sierre</t>
  </si>
  <si>
    <t>Billard-Club St. Gallen</t>
  </si>
  <si>
    <t>Club de billard Tavannes</t>
  </si>
  <si>
    <t>Billard-Club Winterthur</t>
  </si>
  <si>
    <t>Club de billard Yverdon-les-Bains</t>
  </si>
  <si>
    <t>Billard-Club Zürich</t>
  </si>
  <si>
    <t>club</t>
  </si>
  <si>
    <t xml:space="preserve">Version </t>
  </si>
  <si>
    <t>EINZELMEISTERSCHAFT FSB - RESULTATE</t>
  </si>
  <si>
    <t>Halbfinal</t>
  </si>
  <si>
    <t>Final</t>
  </si>
  <si>
    <t>GD</t>
  </si>
  <si>
    <t>Pkt</t>
  </si>
  <si>
    <t>Demi-finale</t>
  </si>
  <si>
    <t>Finale</t>
  </si>
  <si>
    <t>Forfait</t>
  </si>
  <si>
    <t>R</t>
  </si>
  <si>
    <t>© 2011 Sébastien Chassot, Daniel Zimmermann</t>
  </si>
  <si>
    <t>Tisch (Spielfläche)</t>
  </si>
  <si>
    <r>
      <t xml:space="preserve">Art. 82 Classement des joueurs individuels et des équipes </t>
    </r>
    <r>
      <rPr>
        <sz val="9"/>
        <rFont val="Arial"/>
        <family val="2"/>
      </rPr>
      <t>- (20.11.2011)</t>
    </r>
  </si>
  <si>
    <t>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t>
  </si>
  <si>
    <t xml:space="preserve">A l'issue de la compétition les joueurs sont classés en fonction du nombre de points de match obtenus En cas d'égalité de points de match au classement final d'une compétition individuelle on procède comme suit : </t>
  </si>
  <si>
    <t>a)</t>
  </si>
  <si>
    <t>b)</t>
  </si>
  <si>
    <t>c)</t>
  </si>
  <si>
    <t>Si plus de trois joueurs sont à égalité, celui qui s'est imposé sur tous les autres est classé en tête. Si aucun des joueurs n'a battu tous les autres, on procède par élimination, en appliquant les dispositions ci-dessus.</t>
  </si>
  <si>
    <t>d)</t>
  </si>
  <si>
    <t>Une fois le premier joueur désigné, selon points b) et c) ci-dessus, les autres joueurs sont ensuite départagés selon le point a) ci-dessus.</t>
  </si>
  <si>
    <t>e)</t>
  </si>
  <si>
    <t>S'il y a égalité de moyenne générale, on retiendra, dans l'ordre, la meilleure moyenne particulière, la deuxième si nécessaire, etc.</t>
  </si>
  <si>
    <r>
      <t>Art. 82 Rangierung von Einzelspielern und Mannschaften</t>
    </r>
    <r>
      <rPr>
        <sz val="9"/>
        <rFont val="Arial"/>
        <family val="2"/>
      </rPr>
      <t xml:space="preserve"> (20.11.2011)</t>
    </r>
  </si>
  <si>
    <t>Für die Erstellung von Gesamtranglisten für Einzelspieler und Mannschaften aus verschiedenen Turnieren gilt zusätzlich : Wird eine Gesamtrangliste aller Spieler erstellt, werden die unten stehenden Kriterien bei den direkt qualifizierten für jeden Rang getrennt gewertet, d.h. alle Erstklassierten vor allen Zweitklassierten etc. Die nicht direkt qualifizierten werden gesamthaft ebenfalls nach den untenstehenden Rangierungskriterien hinter den direkt qualifizierten plaziert. : Generaldurchschnitt ,Einzeldurchschnitt, (bester, zweitbester, etc.), Höchstserie.</t>
  </si>
  <si>
    <t>Am Ende des Wettkampfes werden die Spieler gemäss der Anzahl der erreichten Matchpunkte in das Klassement eingeordnet. Im Falle eines Gleichstandes der Matchpunkte im Abschlussklassement wie folgt :</t>
  </si>
  <si>
    <t>Im Falle eines Gleichstandes zweier Spieler gibt das Ergebnis der direkten Begegnung den Ausschlag gibt. Wenn diese direkte Begegnung mit einem Unentschieden geendet hat, erhält den vorderen Platz im Klassement derjenige Spieler der den besten Generaldurchschnitt besitzt. Falls der Gleichstand weiter besteht sollte, wird man die Bestimmungen des untenstehenden Punkt e) anwenden. Ein Unentschieden wird nicht als gewonnene Partie gewertet.</t>
  </si>
  <si>
    <r>
      <t>(</t>
    </r>
    <r>
      <rPr>
        <i/>
        <sz val="9"/>
        <rFont val="Arial"/>
        <family val="2"/>
      </rPr>
      <t>Wenn diese direkte Begegnung mit einem Unentschieden geendet hat, erhält derjenige Spieler, der die meisten Satzpunkte in der Gesamtheit der Partien besitzt, den vorderen Platz im Klassement. Sollte dann immer noch ein Gleichstand bestehen, so erhält derjenige Spieler den vorderen Platz im Klassement, der den besten Generaldurchschnitt besitzt. Falls der Gleichstand weiter besteht sollte, wird man die Bestimmungen des untenstehenden Punktes e) anwenden</t>
    </r>
    <r>
      <rPr>
        <sz val="9"/>
        <rFont val="Arial"/>
        <family val="2"/>
      </rPr>
      <t>.)</t>
    </r>
  </si>
  <si>
    <r>
      <t>(</t>
    </r>
    <r>
      <rPr>
        <i/>
        <sz val="9"/>
        <rFont val="Arial"/>
        <family val="2"/>
      </rPr>
      <t>Wenn sich drei Spieler in einer identischen Situation befinden und sie sich untereinander besiegt haben, so wird derjenige Spieler an die Spitze des Klassements gesetzt, der die meisten Satzpunkte in der Gesamtheit der gespielten Partien erzielt hat. Wenn sich zwei Spieler im Gleichstand hinsichtlich der Satzpunkte befinden, dann gibt Punkt a) oben den Ausschlag. Wenn sich die drei Spieler im Gleichstand hinsichtlich der Satzpunkte befinden, wird derjenige Spieler an die Spitze des Klassements gesetzt, der den besten Generaldurchschnitt in der Gesamtheit der gespielten Partien aufweist. Wenn zwei Spieler einen identischen Generaldurchschnitt besitzen, gibt Punkt a) oben den Ausschlag. Wenn drei Spieler sich im Gleichstand hinsichtlich des Generaldurchschnittes befinden, werden die Bestimmungen von Punkt e) unten angewendet</t>
    </r>
    <r>
      <rPr>
        <sz val="9"/>
        <rFont val="Arial"/>
        <family val="2"/>
      </rPr>
      <t>.)</t>
    </r>
  </si>
  <si>
    <t>Wenn sich mehr als drei Spieler im Gleichstand befinden, so wird derjenige an die Spitze des Klassements gesetzt, der sich gegen alle anderen durchsetzen konnte. Wenn keiner der Spieler alle anderen geschlagen hat, wird nach den obenstehenden Bestimmungen hinsichtlich der Ausscheidung verfahren.</t>
  </si>
  <si>
    <t>Wenn erst der erste Spieler gemäss den Punkten b) und c) oben bestimmt ist, wird dann nach Punkt a) oben für die anderen Spieler verfahren.</t>
  </si>
  <si>
    <t>Falls es einen Gleichstand der Generaldurchschnitte gibt, so wird man in folgender Reihenfolge auf den besten Einzeldurchschnitt, falls notwendig auf den zweiten, etc. zurückgreifen.</t>
  </si>
  <si>
    <t>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t>
  </si>
  <si>
    <t>(Si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t>
  </si>
  <si>
    <t>(Si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t>
  </si>
  <si>
    <t>Deutsch</t>
  </si>
  <si>
    <t>Français</t>
  </si>
  <si>
    <t>Cadre 38/2</t>
  </si>
  <si>
    <t xml:space="preserve">Sie verwenden das Tableau Einzelmeisterschaften, 6 Spieler, jeder gegen jeden, 3 Tische. </t>
  </si>
  <si>
    <t>Gibt ein Spieler für eine Partie Forfait, so lassen Sie die Felder Punkte, Aufnahmen und Serie in dieser Partie leer und wählen einfach "Forfait" aus dem Aufklappmenu des betroffenen Spielers.</t>
  </si>
  <si>
    <t>resultat@billard-carambole.ch</t>
  </si>
  <si>
    <t>Alles was man sieht:</t>
  </si>
  <si>
    <t>Daniel Zimmermann</t>
  </si>
  <si>
    <t>Sébastien Chassot</t>
  </si>
  <si>
    <t xml:space="preserve">Eingaben können nur in die weissen Felder auf dem Blatt "Runden - Tours" gemacht werden, das Tableau füllt sich von selbst. </t>
  </si>
  <si>
    <t>Viele Felder verwenden sogenannte "Aufklappmenus", so dass Sie den Text nicht eintippen müssen, sondern aus einer Liste auswählen können.</t>
  </si>
  <si>
    <t>Tableau Einzelmeisterschaften, 6 Spieler, 3 Tische</t>
  </si>
  <si>
    <t>Alles was man nicht sieht (die richtige Arbeit):</t>
  </si>
  <si>
    <t>Bemerkungen</t>
  </si>
  <si>
    <t>Remarques</t>
  </si>
  <si>
    <t>Tableau championnat individuel, 6 joueurs, 3 tables</t>
  </si>
  <si>
    <t>Vous utilisez le tableau championnat individuel, 6 joueurs, chacun contre chacun, 3 tables.</t>
  </si>
  <si>
    <t>Wichtig: Das Tableau funktioniert nur für diese Konfiguration! Findet Ihr Turnier mit einer anderen Anzahl Spielern oder Tischen statt, verwenden Sie bitte das entsprechende Tableau!</t>
  </si>
  <si>
    <t>Realisierung</t>
  </si>
  <si>
    <t>Réalisation</t>
  </si>
  <si>
    <t>Si un joueur déclare forfait, laissez blanc les cellules de points, reprises et séries de ce match et sélectionnez seulement "Forfait" dans le menu déroulant de ce joueur.</t>
  </si>
  <si>
    <t>Tout ce qu'on voit:</t>
  </si>
  <si>
    <t>Match (284 x 142)</t>
  </si>
  <si>
    <t>½ Match (252 x 126)</t>
  </si>
  <si>
    <t>½ Match (230 x 115)</t>
  </si>
  <si>
    <t>Discipline</t>
  </si>
  <si>
    <t>Catégorie</t>
  </si>
  <si>
    <t>Tour</t>
  </si>
  <si>
    <t>Distance de jeu</t>
  </si>
  <si>
    <t>Table (surface de jeu)</t>
  </si>
  <si>
    <t>Libre</t>
  </si>
  <si>
    <t>Basel</t>
  </si>
  <si>
    <t>Bern</t>
  </si>
  <si>
    <t>Colombier</t>
  </si>
  <si>
    <t>Fribourg</t>
  </si>
  <si>
    <t>Genève</t>
  </si>
  <si>
    <t>Lausanne</t>
  </si>
  <si>
    <t>Luzern</t>
  </si>
  <si>
    <t>Sierre</t>
  </si>
  <si>
    <t>St Gallen</t>
  </si>
  <si>
    <t>Tavannes</t>
  </si>
  <si>
    <t>Winterthur</t>
  </si>
  <si>
    <t>Yverdon</t>
  </si>
  <si>
    <t>Zürich</t>
  </si>
  <si>
    <t>rappel MG et MP si gagné</t>
  </si>
  <si>
    <t>MS</t>
  </si>
  <si>
    <t>MG, MP et MS dans l'ordre</t>
  </si>
  <si>
    <t>Tableau</t>
  </si>
  <si>
    <t>Bonus rencontre directe</t>
  </si>
  <si>
    <t>MP1</t>
  </si>
  <si>
    <t>MP2</t>
  </si>
  <si>
    <t>MP3</t>
  </si>
  <si>
    <t>Total</t>
  </si>
  <si>
    <t>Evaluation 1</t>
  </si>
  <si>
    <t>Evaluation 2</t>
  </si>
  <si>
    <t>Grand Total</t>
  </si>
  <si>
    <t>A: Mème nombre de PM</t>
  </si>
  <si>
    <t>B: Gagné la partie contre joueur avec mème PM</t>
  </si>
  <si>
    <t>MP4</t>
  </si>
  <si>
    <t>MP5</t>
  </si>
  <si>
    <t>S</t>
  </si>
  <si>
    <t>Evaluation 3</t>
  </si>
  <si>
    <t>Aarau</t>
  </si>
  <si>
    <t>Biel-Bienne</t>
  </si>
  <si>
    <t>Classement moyenne</t>
  </si>
  <si>
    <t>RM</t>
  </si>
  <si>
    <t>BRD</t>
  </si>
  <si>
    <t>BM</t>
  </si>
  <si>
    <t>TE 1</t>
  </si>
  <si>
    <t>TE 2</t>
  </si>
  <si>
    <t>E1</t>
  </si>
  <si>
    <t>E2</t>
  </si>
  <si>
    <t>E3</t>
  </si>
  <si>
    <t>Bonus Moyenne</t>
  </si>
  <si>
    <t>Evaluation 4</t>
  </si>
  <si>
    <t>Evaluation 5</t>
  </si>
  <si>
    <t>B: Gagné la partie contre joueur avec mème TE1</t>
  </si>
  <si>
    <t>A: Mème nombre de TE1</t>
  </si>
  <si>
    <t>A: Mème nombre de TE2</t>
  </si>
  <si>
    <t>TE1</t>
  </si>
  <si>
    <t>TE2</t>
  </si>
  <si>
    <t>TE3</t>
  </si>
  <si>
    <t>B: Gagné la partie contre joueur avec mème TE2</t>
  </si>
  <si>
    <t>TE4</t>
  </si>
  <si>
    <t>A: Mème nombre de TE3</t>
  </si>
  <si>
    <t>B: Gagné la partie contre joueur avec mème TE3</t>
  </si>
  <si>
    <t>TE5</t>
  </si>
  <si>
    <t>A: Mème nombre de TE4</t>
  </si>
  <si>
    <t>B: Gagné la partie contre joueur avec mème TE4</t>
  </si>
  <si>
    <t>Fédération Suisse de Billard • Section Carambole</t>
  </si>
  <si>
    <t>Federazione Svizzera di Biliardo • Sezione Carambola</t>
  </si>
  <si>
    <t xml:space="preserve">Schweizerischer Billard Verband • Sektion Karambol </t>
  </si>
  <si>
    <t>FSB | SBV | FSB</t>
  </si>
  <si>
    <t>Titre Tours:</t>
  </si>
  <si>
    <t>Saisissez les données dans les cellules blanches</t>
  </si>
  <si>
    <t>Geben Sie die Daten in die weissen Felder ein</t>
  </si>
  <si>
    <t>E4</t>
  </si>
  <si>
    <t>E5</t>
  </si>
  <si>
    <t>Nehmen 2 oder mehr Spieler desselben Clubs teil, sind sie gemäss der Anleitung auf dem Blatt "Reglement - Règlement" zu platzieren!</t>
  </si>
  <si>
    <t>Vous devez saisir les données seulement dans les cellules blanches de la feuille "Runden-Tours". Le tableau se remplit automatiquement tout seul.</t>
  </si>
  <si>
    <t>Die in einem Turnier aufeinander getroffenen Einzelspieler und Mannschaften werden klassiert : Matchpunkte, direkten Begegnung, Generaldurchschnitt, Matchpunkte aus den direkten Begegnungen, Einzeldurchschnitt, (bester, zweitbester, etc.), Höchstserie, Losentscheid.</t>
  </si>
  <si>
    <t>Classement des joueurs individuels qui ont joué les uns contre les autres à un tournoi : points de match, rencontre directe, moyenne générale, points de match des rencontres directes, moyenne particulière (meilleure seconde, etc., meilleure série, tirage au sort.</t>
  </si>
  <si>
    <t>Die in einem Turnier aufeinander getroffenen Mannschaften werden klassiert : Begegnungspunkte, Matchpunkte, Mannschafts-GD aller Begegnungen, Bester Mannschafts-GD einer Begegnung, Zweitbester Mannschafts-GD einer Begegnung, etc., Losentscheid.</t>
  </si>
  <si>
    <t>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t>
  </si>
  <si>
    <t>Im Falle eines Gleichstandes dreier Spieler wird derjenige, der die anderen beiden geschlagen hat, an die Spitze des Klassements gesetzt, bei den beiden anderen wird dann nach Punkt a) oben verfahren. Wenn sich drei Spieler in einer identischen Situation befinden und sie sich untereinander besiegt haben, so wird derjenige Spieler an die Spitze des Klassements gesetzt, der den besten Generaldurchschnitt 
Wenn sich drei Spieler in einer identischen Situation befinden und sie sich untereinander besiegt haben, so wird derjenige Spieler an die Spitze des Klassements gesetzt, der den besten Generaldurchschnitt
Wenn zwei Spieler einen identischen Generaldurchschnitt besitzen, gibt Punkt a) oben den Ausschlag. Wenn drei Spieler sich im Gleichstand hinsichtlich des Generaldurchschnittes befinden, werden die Bestimmungen von Punkt e) unten angewendet. Wenn zwei Spieler einen identischen Generaldurchschnitt besitzen, gibt Punkt a) oben den Ausschlag. Wenn drei Spieler sich im Gleichstand hinsichtlich des Generaldurchschnittes befinden, werden die Bestimmungen von Punkt e) unten angewendet.</t>
  </si>
  <si>
    <t>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t>
  </si>
  <si>
    <t>Art. 126 Verteilung auf die Ausscheidungsgruppen und Reihenfolge der Partien (30.06.2011)</t>
  </si>
  <si>
    <t>Stellt ein Klub mehr als einen Spieler, aber nicht alle, werden die Partien zwischen Angehörigen desselben Klubs an den Anfang verlegt, anschliessend die restlichen Partien gemäss Turnierplan gespielt. Dazu kann es notwendig sein, die Rangnummern der Spieler zu ändern. In diesem Fall wird mit den letzten Spielern begonnen, die als erste zurückversetzt werden.</t>
  </si>
  <si>
    <t>Art. 126 Répartition des joueurs sur les groupes éliminatoires et ordre de priorité des parties (30.06.2011)</t>
  </si>
  <si>
    <t>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t>
  </si>
  <si>
    <t>Listes</t>
  </si>
  <si>
    <t>Ville</t>
  </si>
  <si>
    <t>Tours</t>
  </si>
  <si>
    <t>Table</t>
  </si>
  <si>
    <t>LN</t>
  </si>
  <si>
    <t>LR 1</t>
  </si>
  <si>
    <t>LR 2</t>
  </si>
  <si>
    <t>"1"</t>
  </si>
  <si>
    <t>Juniors</t>
  </si>
  <si>
    <r>
      <t>Dans</t>
    </r>
    <r>
      <rPr>
        <b/>
        <sz val="11"/>
        <color indexed="55"/>
        <rFont val="Calibri"/>
        <family val="2"/>
      </rPr>
      <t xml:space="preserve"> l'évaluation 1</t>
    </r>
    <r>
      <rPr>
        <sz val="11"/>
        <color indexed="55"/>
        <rFont val="Calibri"/>
        <family val="2"/>
      </rPr>
      <t xml:space="preserve"> on cherche le joueur qui a battu tous les autres avec les mêmes </t>
    </r>
    <r>
      <rPr>
        <b/>
        <sz val="11"/>
        <color indexed="55"/>
        <rFont val="Calibri"/>
        <family val="2"/>
      </rPr>
      <t>PM.</t>
    </r>
    <r>
      <rPr>
        <sz val="11"/>
        <color indexed="55"/>
        <rFont val="Calibri"/>
        <family val="2"/>
      </rPr>
      <t xml:space="preserve"> Si on en trouve, c'est-à-dire, si le total de la tabelle</t>
    </r>
    <r>
      <rPr>
        <b/>
        <sz val="11"/>
        <color indexed="55"/>
        <rFont val="Calibri"/>
        <family val="2"/>
      </rPr>
      <t xml:space="preserve"> A</t>
    </r>
    <r>
      <rPr>
        <sz val="11"/>
        <color indexed="55"/>
        <rFont val="Calibri"/>
        <family val="2"/>
      </rPr>
      <t xml:space="preserve"> est égal au total de la tabelle </t>
    </r>
    <r>
      <rPr>
        <b/>
        <sz val="11"/>
        <color indexed="55"/>
        <rFont val="Calibri"/>
        <family val="2"/>
      </rPr>
      <t>B</t>
    </r>
    <r>
      <rPr>
        <sz val="11"/>
        <color indexed="55"/>
        <rFont val="Calibri"/>
        <family val="2"/>
      </rPr>
      <t xml:space="preserve">, le chiffre 1 apparait dans </t>
    </r>
    <r>
      <rPr>
        <b/>
        <sz val="11"/>
        <color indexed="55"/>
        <rFont val="Calibri"/>
        <family val="2"/>
      </rPr>
      <t>E1,</t>
    </r>
    <r>
      <rPr>
        <sz val="11"/>
        <color indexed="55"/>
        <rFont val="Calibri"/>
        <family val="2"/>
      </rPr>
      <t xml:space="preserve"> ce qui fait ajouter le bonus de la rencontre directe </t>
    </r>
    <r>
      <rPr>
        <b/>
        <sz val="11"/>
        <color indexed="55"/>
        <rFont val="Calibri"/>
        <family val="2"/>
      </rPr>
      <t xml:space="preserve">(BRD). </t>
    </r>
    <r>
      <rPr>
        <sz val="11"/>
        <color indexed="55"/>
        <rFont val="Calibri"/>
        <family val="2"/>
      </rPr>
      <t>Sinon la tabelle</t>
    </r>
    <r>
      <rPr>
        <b/>
        <sz val="11"/>
        <color indexed="55"/>
        <rFont val="Calibri"/>
        <family val="2"/>
      </rPr>
      <t xml:space="preserve"> Bonus Moyenne </t>
    </r>
    <r>
      <rPr>
        <sz val="11"/>
        <color indexed="55"/>
        <rFont val="Calibri"/>
        <family val="2"/>
      </rPr>
      <t xml:space="preserve">cherche le joueur avec la meilleure moyenne parmis ceux classés avec le même nombre de </t>
    </r>
    <r>
      <rPr>
        <b/>
        <sz val="11"/>
        <color indexed="55"/>
        <rFont val="Calibri"/>
        <family val="2"/>
      </rPr>
      <t>PM.</t>
    </r>
    <r>
      <rPr>
        <sz val="11"/>
        <color indexed="55"/>
        <rFont val="Calibri"/>
        <family val="2"/>
      </rPr>
      <t xml:space="preserve"> Les évaluations 2 à 5 répètent le même processus, mais plus basé sur les </t>
    </r>
    <r>
      <rPr>
        <b/>
        <sz val="11"/>
        <color indexed="55"/>
        <rFont val="Calibri"/>
        <family val="2"/>
      </rPr>
      <t>PM</t>
    </r>
    <r>
      <rPr>
        <sz val="11"/>
        <color indexed="55"/>
        <rFont val="Calibri"/>
        <family val="2"/>
      </rPr>
      <t xml:space="preserve"> mais sur le Total de l'évaluation précedente </t>
    </r>
    <r>
      <rPr>
        <b/>
        <sz val="11"/>
        <color indexed="55"/>
        <rFont val="Calibri"/>
        <family val="2"/>
      </rPr>
      <t>TE</t>
    </r>
    <r>
      <rPr>
        <sz val="11"/>
        <color indexed="55"/>
        <rFont val="Calibri"/>
        <family val="2"/>
      </rPr>
      <t xml:space="preserve"> (</t>
    </r>
    <r>
      <rPr>
        <b/>
        <sz val="11"/>
        <color indexed="55"/>
        <rFont val="Calibri"/>
        <family val="2"/>
      </rPr>
      <t>PM</t>
    </r>
    <r>
      <rPr>
        <sz val="11"/>
        <color indexed="55"/>
        <rFont val="Calibri"/>
        <family val="2"/>
      </rPr>
      <t xml:space="preserve"> plus </t>
    </r>
    <r>
      <rPr>
        <b/>
        <sz val="11"/>
        <color indexed="55"/>
        <rFont val="Calibri"/>
        <family val="2"/>
      </rPr>
      <t>BRD</t>
    </r>
    <r>
      <rPr>
        <sz val="11"/>
        <color indexed="55"/>
        <rFont val="Calibri"/>
        <family val="2"/>
      </rPr>
      <t xml:space="preserve"> ou </t>
    </r>
    <r>
      <rPr>
        <b/>
        <sz val="11"/>
        <color indexed="55"/>
        <rFont val="Calibri"/>
        <family val="2"/>
      </rPr>
      <t>BM).</t>
    </r>
  </si>
  <si>
    <r>
      <t xml:space="preserve">Le joueur obtient le bonus rencontre directe </t>
    </r>
    <r>
      <rPr>
        <b/>
        <sz val="11"/>
        <color indexed="55"/>
        <rFont val="Calibri"/>
        <family val="2"/>
      </rPr>
      <t xml:space="preserve">(BRD) </t>
    </r>
    <r>
      <rPr>
        <sz val="11"/>
        <color indexed="55"/>
        <rFont val="Calibri"/>
        <family val="2"/>
      </rPr>
      <t xml:space="preserve">si </t>
    </r>
    <r>
      <rPr>
        <b/>
        <sz val="11"/>
        <color indexed="55"/>
        <rFont val="Calibri"/>
        <family val="2"/>
      </rPr>
      <t>E1</t>
    </r>
    <r>
      <rPr>
        <sz val="11"/>
        <color indexed="55"/>
        <rFont val="Calibri"/>
        <family val="2"/>
      </rPr>
      <t xml:space="preserve"> égal 1, c'est-à-dire sîl a battu tous les joueurs avec les même </t>
    </r>
    <r>
      <rPr>
        <b/>
        <sz val="11"/>
        <color indexed="55"/>
        <rFont val="Calibri"/>
        <family val="2"/>
      </rPr>
      <t xml:space="preserve">PM </t>
    </r>
    <r>
      <rPr>
        <sz val="11"/>
        <color indexed="55"/>
        <rFont val="Calibri"/>
        <family val="2"/>
      </rPr>
      <t xml:space="preserve"> (ou </t>
    </r>
    <r>
      <rPr>
        <b/>
        <sz val="11"/>
        <color indexed="55"/>
        <rFont val="Calibri"/>
        <family val="2"/>
      </rPr>
      <t>TE</t>
    </r>
    <r>
      <rPr>
        <sz val="11"/>
        <color indexed="55"/>
        <rFont val="Calibri"/>
        <family val="2"/>
      </rPr>
      <t xml:space="preserve"> dans les évaluations 2 à 5). Le Bonus Moyenne </t>
    </r>
    <r>
      <rPr>
        <b/>
        <sz val="11"/>
        <color indexed="55"/>
        <rFont val="Calibri"/>
        <family val="2"/>
      </rPr>
      <t>(BM)</t>
    </r>
    <r>
      <rPr>
        <sz val="11"/>
        <color indexed="55"/>
        <rFont val="Calibri"/>
        <family val="2"/>
      </rPr>
      <t xml:space="preserve"> est seulement donné si le joueur n'a pas de </t>
    </r>
    <r>
      <rPr>
        <b/>
        <sz val="11"/>
        <color indexed="55"/>
        <rFont val="Calibri"/>
        <family val="2"/>
      </rPr>
      <t>BRD</t>
    </r>
    <r>
      <rPr>
        <sz val="11"/>
        <color indexed="55"/>
        <rFont val="Calibri"/>
        <family val="2"/>
      </rPr>
      <t xml:space="preserve"> et si aucun des joueurs avec les même </t>
    </r>
    <r>
      <rPr>
        <b/>
        <sz val="11"/>
        <color indexed="55"/>
        <rFont val="Calibri"/>
        <family val="2"/>
      </rPr>
      <t>PM</t>
    </r>
    <r>
      <rPr>
        <sz val="11"/>
        <color indexed="55"/>
        <rFont val="Calibri"/>
        <family val="2"/>
      </rPr>
      <t xml:space="preserve"> n'a de </t>
    </r>
    <r>
      <rPr>
        <b/>
        <sz val="11"/>
        <color indexed="55"/>
        <rFont val="Calibri"/>
        <family val="2"/>
      </rPr>
      <t>BRD</t>
    </r>
  </si>
  <si>
    <t>Rangliste</t>
  </si>
  <si>
    <t>Classement</t>
  </si>
  <si>
    <t>Veterans</t>
  </si>
  <si>
    <t>Joueur</t>
  </si>
  <si>
    <t>Cette matrix sert à afficher dans l'ordre le classement sur la feuille classement</t>
  </si>
  <si>
    <t>La colonne AT est nécessaire pour avoir un rang unique dans les premiers tours</t>
  </si>
  <si>
    <t xml:space="preserve"> est classé </t>
  </si>
  <si>
    <t>1er</t>
  </si>
  <si>
    <t>2ème</t>
  </si>
  <si>
    <t>3ème</t>
  </si>
  <si>
    <t>4ème</t>
  </si>
  <si>
    <t>5ème</t>
  </si>
  <si>
    <t>6ème</t>
  </si>
  <si>
    <t xml:space="preserve"> basé sur la rencontre directe. </t>
  </si>
  <si>
    <t xml:space="preserve"> ist </t>
  </si>
  <si>
    <t>Erster</t>
  </si>
  <si>
    <t>Zweiter</t>
  </si>
  <si>
    <t>Dritter</t>
  </si>
  <si>
    <t>Vierter</t>
  </si>
  <si>
    <t>Fünfter</t>
  </si>
  <si>
    <t>Sechster</t>
  </si>
  <si>
    <t xml:space="preserve"> aufgrund der direkten Begegnung. </t>
  </si>
  <si>
    <t>Rang+Joueur</t>
  </si>
  <si>
    <t>Commentaire</t>
  </si>
  <si>
    <t xml:space="preserve"> aufgrund der höheren Serie. </t>
  </si>
  <si>
    <t xml:space="preserve"> basé sur la meilleure série.  </t>
  </si>
  <si>
    <t xml:space="preserve"> aufgrund des höheren GD. </t>
  </si>
  <si>
    <t xml:space="preserve"> aufgrund des höheren ED. </t>
  </si>
  <si>
    <t xml:space="preserve"> aufgrund des höheren 2. ED. </t>
  </si>
  <si>
    <t xml:space="preserve"> aufgrund des höheren 3. ED. </t>
  </si>
  <si>
    <t xml:space="preserve"> aufgrund des höheren 4. ED. </t>
  </si>
  <si>
    <t xml:space="preserve"> aufgrund des höheren 5. ED. </t>
  </si>
  <si>
    <t xml:space="preserve"> basé sur la meilleure MG.  </t>
  </si>
  <si>
    <t xml:space="preserve"> basé sur la meilleure MP.  </t>
  </si>
  <si>
    <t xml:space="preserve"> basé sur la meilleure 2ème MP.  </t>
  </si>
  <si>
    <t xml:space="preserve"> basé sur la meilleure 3ème MP.  </t>
  </si>
  <si>
    <t xml:space="preserve"> basé sur la meilleure 4ème MP.  </t>
  </si>
  <si>
    <t xml:space="preserve"> basé sur la meilleure 5ème MP.  </t>
  </si>
  <si>
    <t>Begründung</t>
  </si>
  <si>
    <t>Précision</t>
  </si>
  <si>
    <t>Calculation des commentaires</t>
  </si>
  <si>
    <t>Rangs Moyenne et série</t>
  </si>
  <si>
    <t>J</t>
  </si>
  <si>
    <t>967 formules sur cette feuille !</t>
  </si>
  <si>
    <t>Bester ED:</t>
  </si>
  <si>
    <t>Bester GD:</t>
  </si>
  <si>
    <t>Höchste Serie:</t>
  </si>
  <si>
    <t>Meilleure MP:</t>
  </si>
  <si>
    <t>Meilleure MG:</t>
  </si>
  <si>
    <t>Meilleure série:</t>
  </si>
  <si>
    <r>
      <t xml:space="preserve">Le Bonus Moyenne </t>
    </r>
    <r>
      <rPr>
        <b/>
        <sz val="11"/>
        <color indexed="55"/>
        <rFont val="Calibri"/>
        <family val="2"/>
      </rPr>
      <t>(BM)</t>
    </r>
    <r>
      <rPr>
        <sz val="11"/>
        <color indexed="55"/>
        <rFont val="Calibri"/>
        <family val="2"/>
      </rPr>
      <t xml:space="preserve"> est donné si le rang Moyenne </t>
    </r>
    <r>
      <rPr>
        <b/>
        <sz val="11"/>
        <color indexed="55"/>
        <rFont val="Calibri"/>
        <family val="2"/>
      </rPr>
      <t>(RM)</t>
    </r>
    <r>
      <rPr>
        <sz val="11"/>
        <color indexed="55"/>
        <rFont val="Calibri"/>
        <family val="2"/>
      </rPr>
      <t xml:space="preserve"> du joueur est le plus petit parmis ceux qui ont les mêmes </t>
    </r>
    <r>
      <rPr>
        <b/>
        <sz val="11"/>
        <color indexed="55"/>
        <rFont val="Calibri"/>
        <family val="2"/>
      </rPr>
      <t xml:space="preserve">PM </t>
    </r>
    <r>
      <rPr>
        <sz val="11"/>
        <color indexed="55"/>
        <rFont val="Calibri"/>
        <family val="2"/>
      </rPr>
      <t xml:space="preserve">(ou </t>
    </r>
    <r>
      <rPr>
        <b/>
        <sz val="11"/>
        <color indexed="55"/>
        <rFont val="Calibri"/>
        <family val="2"/>
      </rPr>
      <t>TE</t>
    </r>
    <r>
      <rPr>
        <sz val="11"/>
        <color indexed="55"/>
        <rFont val="Calibri"/>
        <family val="2"/>
      </rPr>
      <t xml:space="preserve"> dans les évaluations 2 à 5). BM de 1=MG,  2=MP1 etc, 7=série. Vu qu'il n'y a qu'un joueur avec les même PM (ou TE) peux recevoir le Bonus, la valeur du Bonus a  une importance seulement pour le commentaire.</t>
    </r>
  </si>
  <si>
    <t>La feuille "Rangliste - Classement" affiche le classement dans l'ordre et donne des précisions en cas d'égalité de PM.</t>
  </si>
  <si>
    <t>Das Blatt "Rangliste - Classement" zeigt die Ränge in der richtigen Reihenfolge an und gibt Erklärungen bei gleichen WP.</t>
  </si>
  <si>
    <t>Rappel des évaluations</t>
  </si>
  <si>
    <t>E</t>
  </si>
  <si>
    <t>Joueur 1</t>
  </si>
  <si>
    <t>Joueur 2</t>
  </si>
  <si>
    <t>Joueur 3</t>
  </si>
  <si>
    <t>Joueur 4</t>
  </si>
  <si>
    <t>Joueur 5</t>
  </si>
  <si>
    <t>Joueur 6</t>
  </si>
  <si>
    <t>Les commentaires: 0= Rencontre directe, 1=MG, 2=MP1, 3=MP2, 4=MP3, 5=MP4, 6=MP5, 7=Série</t>
  </si>
  <si>
    <t>Important: le tableau fonctionne seulement pour cette configuration. S'il y a un autre nombre de joueurs ou de tables, utilisez le tableau approprié !</t>
  </si>
  <si>
    <t>Beaucoup de cellules utilisent des menus déroulants ou vous pouvez sélectionner des données au lieu de les écrire.</t>
  </si>
  <si>
    <t>S'il y a 2 joueurs ou plus du même club, ils doivent être plaçés selon les instructions dans la feuille "Reglement - Règlement" !</t>
  </si>
  <si>
    <t>Tout ce qu'on ne voit pas (donc, le vrai travail):</t>
  </si>
  <si>
    <t>Après le tournoi vous devez envoyer non pas un PDF du Tableau, mais le fichier Excel complet par e-mail à l'adresse suivante :</t>
  </si>
  <si>
    <t>Senden Sie nach dem Turnier nicht ein PDF des Tableaus, sondern die ganze Excel-Datei  per e-mail an:</t>
  </si>
  <si>
    <t>Rang nouveau</t>
  </si>
  <si>
    <t>Version 2</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</si>
</sst>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00"/>
    <numFmt numFmtId="165" formatCode="dd/mm/yy"/>
    <numFmt numFmtId="166" formatCode="0.0000"/>
    <numFmt numFmtId="167" formatCode="0.00000000"/>
    <numFmt numFmtId="168" formatCode="0.0000000000"/>
    <numFmt numFmtId="169" formatCode="dd/mm/yyyy;@"/>
    <numFmt numFmtId="170" formatCode="0.000000"/>
  </numFmts>
  <fonts count="96">
    <font>
      <sz val="10"/>
      <name val="Arial"/>
      <family val="2"/>
    </font>
    <font>
      <sz val="11"/>
      <color indexed="55"/>
      <name val="Calibri"/>
      <family val="2"/>
    </font>
    <font>
      <sz val="8"/>
      <name val="Arial"/>
      <family val="2"/>
    </font>
    <font>
      <sz val="12"/>
      <name val="Arial"/>
      <family val="2"/>
    </font>
    <font>
      <sz val="15"/>
      <name val="Arial"/>
      <family val="2"/>
    </font>
    <font>
      <sz val="13"/>
      <name val="Arial"/>
      <family val="2"/>
    </font>
    <font>
      <b/>
      <sz val="13"/>
      <name val="Arial"/>
      <family val="2"/>
    </font>
    <font>
      <sz val="11"/>
      <name val="Arial"/>
      <family val="2"/>
    </font>
    <font>
      <sz val="6"/>
      <name val="Arial"/>
      <family val="2"/>
    </font>
    <font>
      <sz val="10.5"/>
      <name val="Arial"/>
      <family val="2"/>
    </font>
    <font>
      <b/>
      <sz val="10"/>
      <name val="Arial"/>
      <family val="2"/>
    </font>
    <font>
      <sz val="10"/>
      <color indexed="45"/>
      <name val="Arial"/>
      <family val="2"/>
    </font>
    <font>
      <sz val="10"/>
      <color indexed="14"/>
      <name val="Arial"/>
      <family val="2"/>
    </font>
    <font>
      <vertAlign val="superscript"/>
      <sz val="10"/>
      <name val="Arial"/>
      <family val="2"/>
    </font>
    <font>
      <b/>
      <sz val="10"/>
      <color indexed="45"/>
      <name val="Arial"/>
      <family val="2"/>
    </font>
    <font>
      <b/>
      <sz val="9"/>
      <name val="Arial"/>
      <family val="2"/>
    </font>
    <font>
      <sz val="9"/>
      <name val="Arial"/>
      <family val="2"/>
    </font>
    <font>
      <i/>
      <sz val="9"/>
      <name val="Arial"/>
      <family val="2"/>
    </font>
    <font>
      <u val="single"/>
      <sz val="10"/>
      <color indexed="31"/>
      <name val="Arial"/>
      <family val="2"/>
    </font>
    <font>
      <b/>
      <sz val="16"/>
      <name val="Arial"/>
      <family val="2"/>
    </font>
    <font>
      <b/>
      <sz val="14"/>
      <name val="Arial"/>
      <family val="2"/>
    </font>
    <font>
      <b/>
      <sz val="11"/>
      <name val="Arial"/>
      <family val="2"/>
    </font>
    <font>
      <b/>
      <sz val="10.5"/>
      <name val="Arial"/>
      <family val="2"/>
    </font>
    <font>
      <b/>
      <sz val="12"/>
      <name val="Arial"/>
      <family val="2"/>
    </font>
    <font>
      <b/>
      <sz val="18"/>
      <name val="Arial"/>
      <family val="2"/>
    </font>
    <font>
      <b/>
      <sz val="11"/>
      <color indexed="55"/>
      <name val="Calibri"/>
      <family val="2"/>
    </font>
    <font>
      <b/>
      <sz val="11"/>
      <name val="Calibri"/>
      <family val="2"/>
    </font>
    <font>
      <sz val="11"/>
      <color indexed="47"/>
      <name val="Calibri"/>
      <family val="2"/>
    </font>
    <font>
      <b/>
      <sz val="11"/>
      <color indexed="47"/>
      <name val="Calibri"/>
      <family val="2"/>
    </font>
    <font>
      <b/>
      <sz val="12"/>
      <color indexed="55"/>
      <name val="Calibri"/>
      <family val="2"/>
    </font>
    <font>
      <b/>
      <sz val="11"/>
      <color indexed="45"/>
      <name val="Calibri"/>
      <family val="2"/>
    </font>
    <font>
      <sz val="36"/>
      <color indexed="52"/>
      <name val="Arial"/>
      <family val="2"/>
    </font>
    <font>
      <b/>
      <sz val="8"/>
      <name val="Arial"/>
      <family val="2"/>
    </font>
    <font>
      <i/>
      <sz val="8"/>
      <name val="Arial"/>
      <family val="2"/>
    </font>
    <font>
      <sz val="11"/>
      <name val="Calibri"/>
      <family val="2"/>
    </font>
    <font>
      <sz val="20"/>
      <name val="Arial"/>
      <family val="2"/>
    </font>
    <font>
      <b/>
      <sz val="28"/>
      <name val="Arial"/>
      <family val="2"/>
    </font>
    <font>
      <b/>
      <sz val="36"/>
      <name val="Arial"/>
      <family val="2"/>
    </font>
    <font>
      <b/>
      <sz val="20"/>
      <color indexed="52"/>
      <name val="Arial"/>
      <family val="2"/>
    </font>
    <font>
      <sz val="14"/>
      <name val="Arial"/>
      <family val="2"/>
    </font>
    <font>
      <b/>
      <sz val="14"/>
      <color indexed="52"/>
      <name val="Arial"/>
      <family val="2"/>
    </font>
    <font>
      <sz val="16"/>
      <name val="Arial"/>
      <family val="2"/>
    </font>
    <font>
      <b/>
      <sz val="12"/>
      <color indexed="52"/>
      <name val="Arial"/>
      <family val="2"/>
    </font>
    <font>
      <b/>
      <sz val="18"/>
      <color indexed="52"/>
      <name val="Arial"/>
      <family val="2"/>
    </font>
    <font>
      <b/>
      <sz val="10"/>
      <color indexed="52"/>
      <name val="Arial"/>
      <family val="2"/>
    </font>
    <font>
      <sz val="11"/>
      <color indexed="45"/>
      <name val="Calibri"/>
      <family val="2"/>
    </font>
    <font>
      <sz val="13"/>
      <color indexed="45"/>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i/>
      <sz val="11"/>
      <color indexed="15"/>
      <name val="Calibri"/>
      <family val="2"/>
    </font>
    <font>
      <sz val="11"/>
      <color indexed="14"/>
      <name val="Calibri"/>
      <family val="2"/>
    </font>
    <font>
      <sz val="10"/>
      <color indexed="55"/>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04997999966144562"/>
      <name val="Arial"/>
      <family val="2"/>
    </font>
    <font>
      <sz val="10"/>
      <color theme="0" tint="-0.1499900072813034"/>
      <name val="Arial"/>
      <family val="2"/>
    </font>
    <font>
      <b/>
      <sz val="10"/>
      <color rgb="FFFF0000"/>
      <name val="Arial"/>
      <family val="2"/>
    </font>
    <font>
      <sz val="10"/>
      <color rgb="FFFF0000"/>
      <name val="Arial"/>
      <family val="2"/>
    </font>
    <font>
      <sz val="11"/>
      <color theme="0" tint="-0.3499799966812134"/>
      <name val="Calibri"/>
      <family val="2"/>
    </font>
    <font>
      <b/>
      <sz val="11"/>
      <color theme="0" tint="-0.3499799966812134"/>
      <name val="Calibri"/>
      <family val="2"/>
    </font>
    <font>
      <b/>
      <sz val="12"/>
      <color theme="1"/>
      <name val="Calibri"/>
      <family val="2"/>
    </font>
    <font>
      <b/>
      <sz val="11"/>
      <color rgb="FFFF0000"/>
      <name val="Calibri"/>
      <family val="2"/>
    </font>
    <font>
      <b/>
      <sz val="12"/>
      <color rgb="FFC00000"/>
      <name val="Arial"/>
      <family val="2"/>
    </font>
    <font>
      <b/>
      <sz val="10"/>
      <color rgb="FFC00000"/>
      <name val="Arial"/>
      <family val="2"/>
    </font>
    <font>
      <sz val="13"/>
      <color rgb="FFFF0000"/>
      <name val="Arial"/>
      <family val="2"/>
    </font>
    <font>
      <sz val="36"/>
      <color rgb="FFC00000"/>
      <name val="Arial"/>
      <family val="2"/>
    </font>
    <font>
      <b/>
      <sz val="14"/>
      <color rgb="FFC00000"/>
      <name val="Arial"/>
      <family val="2"/>
    </font>
    <font>
      <b/>
      <sz val="18"/>
      <color rgb="FFC00000"/>
      <name val="Arial"/>
      <family val="2"/>
    </font>
    <font>
      <b/>
      <sz val="20"/>
      <color rgb="FFC0000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rgb="FFA5A5A5"/>
        <bgColor indexed="64"/>
      </patternFill>
    </fill>
    <fill>
      <patternFill patternType="solid">
        <fgColor rgb="FFE6E6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E9E9FF"/>
        <bgColor indexed="64"/>
      </patternFill>
    </fill>
    <fill>
      <patternFill patternType="solid">
        <fgColor rgb="FFE9E9FF"/>
        <bgColor indexed="64"/>
      </patternFill>
    </fill>
  </fills>
  <borders count="1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right style="medium"/>
      <top style="medium"/>
      <bottom style="medium"/>
    </border>
    <border>
      <left style="medium"/>
      <right/>
      <top style="medium"/>
      <bottom/>
    </border>
    <border>
      <left style="thin"/>
      <right style="medium"/>
      <top style="medium"/>
      <bottom style="medium"/>
    </border>
    <border>
      <left style="medium"/>
      <right style="thin"/>
      <top style="medium"/>
      <bottom/>
    </border>
    <border>
      <left style="thin"/>
      <right style="thin"/>
      <top style="medium"/>
      <bottom/>
    </border>
    <border>
      <left/>
      <right style="medium"/>
      <top style="medium"/>
      <bottom/>
    </border>
    <border>
      <left style="medium"/>
      <right/>
      <top/>
      <bottom/>
    </border>
    <border>
      <left style="medium"/>
      <right style="thin"/>
      <top/>
      <bottom/>
    </border>
    <border>
      <left style="thin"/>
      <right style="thin"/>
      <top/>
      <bottom/>
    </border>
    <border>
      <left/>
      <right style="medium"/>
      <top/>
      <bottom/>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thin"/>
      <bottom style="medium"/>
    </border>
    <border>
      <left/>
      <right/>
      <top/>
      <bottom style="thin"/>
    </border>
    <border>
      <left style="thin"/>
      <right style="medium"/>
      <top style="medium"/>
      <bottom/>
    </border>
    <border>
      <left style="thin"/>
      <right/>
      <top/>
      <bottom/>
    </border>
    <border>
      <left/>
      <right/>
      <top style="thin"/>
      <bottom/>
    </border>
    <border>
      <left/>
      <right style="thin"/>
      <top/>
      <bottom/>
    </border>
    <border>
      <left style="thin"/>
      <right style="thin"/>
      <top style="thin"/>
      <bottom style="thin"/>
    </border>
    <border>
      <left style="double"/>
      <right/>
      <top style="double"/>
      <bottom/>
    </border>
    <border>
      <left/>
      <right style="thin"/>
      <top style="double"/>
      <bottom/>
    </border>
    <border>
      <left/>
      <right/>
      <top style="double"/>
      <bottom/>
    </border>
    <border>
      <left/>
      <right style="double"/>
      <top style="double"/>
      <bottom/>
    </border>
    <border>
      <left style="double"/>
      <right/>
      <top/>
      <bottom style="thin"/>
    </border>
    <border>
      <left style="thin"/>
      <right style="double"/>
      <top/>
      <bottom style="thin"/>
    </border>
    <border>
      <left style="double"/>
      <right/>
      <top/>
      <bottom/>
    </border>
    <border>
      <left/>
      <right style="double"/>
      <top/>
      <bottom/>
    </border>
    <border>
      <left style="double"/>
      <right/>
      <top/>
      <bottom style="double"/>
    </border>
    <border>
      <left/>
      <right style="thin"/>
      <top style="thin"/>
      <bottom style="double"/>
    </border>
    <border>
      <left/>
      <right/>
      <top/>
      <bottom style="double"/>
    </border>
    <border>
      <left/>
      <right style="double"/>
      <top/>
      <bottom style="double"/>
    </border>
    <border>
      <left/>
      <right/>
      <top style="hair"/>
      <bottom/>
    </border>
    <border>
      <left style="medium"/>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style="medium"/>
      <bottom style="thin"/>
    </border>
    <border>
      <left style="thin"/>
      <right style="thin"/>
      <top style="thin"/>
      <bottom style="medium"/>
    </border>
    <border>
      <left/>
      <right style="thin"/>
      <top style="medium"/>
      <bottom style="medium"/>
    </border>
    <border>
      <left style="medium"/>
      <right/>
      <top/>
      <bottom style="thin"/>
    </border>
    <border>
      <left style="thin"/>
      <right/>
      <top style="medium"/>
      <bottom style="thin"/>
    </border>
    <border>
      <left style="medium"/>
      <right style="medium"/>
      <top/>
      <bottom style="thin"/>
    </border>
    <border>
      <left style="thin"/>
      <right style="thin"/>
      <top/>
      <bottom style="thin"/>
    </border>
    <border>
      <left style="thin"/>
      <right style="medium"/>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medium"/>
      <top style="thin"/>
      <bottom style="thin"/>
    </border>
    <border>
      <left/>
      <right style="thin"/>
      <top style="thin"/>
      <bottom style="thin"/>
    </border>
    <border>
      <left style="medium"/>
      <right/>
      <top style="thin"/>
      <bottom style="medium"/>
    </border>
    <border>
      <left style="thin"/>
      <right/>
      <top style="thin"/>
      <bottom style="medium"/>
    </border>
    <border>
      <left/>
      <right style="thin"/>
      <top style="thin"/>
      <bottom style="medium"/>
    </border>
    <border>
      <left style="medium"/>
      <right style="medium"/>
      <top style="medium"/>
      <bottom style="thin"/>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style="thin"/>
      <right style="medium"/>
      <top/>
      <bottom/>
    </border>
    <border>
      <left/>
      <right style="thin"/>
      <top style="medium"/>
      <bottom style="thin"/>
    </border>
    <border>
      <left/>
      <right style="medium"/>
      <top/>
      <bottom style="thin"/>
    </border>
    <border>
      <left/>
      <right/>
      <top/>
      <bottom style="thin">
        <color theme="0" tint="-0.1499900072813034"/>
      </bottom>
    </border>
    <border>
      <left/>
      <right style="thin">
        <color theme="0" tint="-0.1499900072813034"/>
      </right>
      <top/>
      <bottom/>
    </border>
    <border>
      <left style="medium">
        <color theme="0" tint="-0.1499900072813034"/>
      </left>
      <right/>
      <top/>
      <bottom/>
    </border>
    <border>
      <left style="medium"/>
      <right style="thin"/>
      <top/>
      <bottom style="thin"/>
    </border>
    <border>
      <left/>
      <right style="thin"/>
      <top/>
      <bottom style="medium"/>
    </border>
    <border>
      <left style="thin"/>
      <right style="medium"/>
      <top/>
      <bottom style="medium"/>
    </border>
    <border>
      <left style="medium"/>
      <right style="medium"/>
      <top/>
      <bottom style="medium"/>
    </border>
    <border>
      <left/>
      <right/>
      <top style="thin"/>
      <bottom style="thin"/>
    </border>
    <border>
      <left style="thin"/>
      <right/>
      <top style="medium"/>
      <bottom/>
    </border>
    <border>
      <left/>
      <right style="thin"/>
      <top style="medium"/>
      <bottom/>
    </border>
    <border>
      <left/>
      <right/>
      <top style="thin"/>
      <bottom style="medium"/>
    </border>
    <border>
      <left style="medium"/>
      <right/>
      <top style="medium"/>
      <bottom style="medium"/>
    </border>
    <border>
      <left/>
      <right/>
      <top style="medium"/>
      <bottom style="medium"/>
    </border>
    <border>
      <left style="thin"/>
      <right/>
      <top style="medium"/>
      <bottom style="medium"/>
    </border>
    <border>
      <left style="double"/>
      <right style="double"/>
      <top style="double"/>
      <bottom style="double"/>
    </border>
    <border>
      <left style="medium"/>
      <right style="hair"/>
      <top style="hair"/>
      <bottom style="medium"/>
    </border>
    <border>
      <left style="hair"/>
      <right style="hair"/>
      <top style="hair"/>
      <bottom style="medium"/>
    </border>
    <border>
      <left style="hair"/>
      <right style="hair"/>
      <top style="hair"/>
      <bottom style="hair"/>
    </border>
    <border>
      <left style="hair"/>
      <right style="hair"/>
      <top style="hair"/>
      <bottom/>
    </border>
    <border>
      <left style="hair"/>
      <right style="hair"/>
      <top/>
      <bottom/>
    </border>
    <border>
      <left style="hair"/>
      <right style="hair"/>
      <top/>
      <bottom style="medium"/>
    </border>
    <border>
      <left style="hair"/>
      <right style="medium"/>
      <top style="hair"/>
      <bottom style="medium"/>
    </border>
    <border>
      <left style="hair"/>
      <right style="hair"/>
      <top/>
      <bottom style="hair"/>
    </border>
    <border>
      <left style="hair"/>
      <right style="medium"/>
      <top style="hair"/>
      <bottom style="hair"/>
    </border>
    <border>
      <left style="medium"/>
      <right style="hair"/>
      <top style="hair"/>
      <bottom style="hair"/>
    </border>
    <border>
      <left style="hair"/>
      <right style="hair"/>
      <top style="medium"/>
      <bottom style="hair"/>
    </border>
    <border>
      <left style="hair"/>
      <right style="medium"/>
      <top style="medium"/>
      <bottom style="hair"/>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medium"/>
      <right style="hair"/>
      <top style="medium"/>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62" fillId="0" borderId="0">
      <alignment/>
      <protection/>
    </xf>
    <xf numFmtId="0" fontId="0" fillId="32" borderId="5" applyFont="0" applyProtection="0">
      <alignment horizontal="center" vertical="center"/>
    </xf>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3" borderId="10" applyNumberFormat="0" applyAlignment="0" applyProtection="0"/>
  </cellStyleXfs>
  <cellXfs count="968">
    <xf numFmtId="0" fontId="0" fillId="0" borderId="0" xfId="0" applyAlignment="1">
      <alignment/>
    </xf>
    <xf numFmtId="0" fontId="0" fillId="0" borderId="0" xfId="0" applyFont="1" applyAlignment="1">
      <alignment horizontal="left"/>
    </xf>
    <xf numFmtId="0" fontId="0" fillId="0" borderId="0" xfId="0" applyAlignment="1">
      <alignment horizontal="center"/>
    </xf>
    <xf numFmtId="164" fontId="0" fillId="0" borderId="0" xfId="0" applyNumberFormat="1" applyAlignment="1">
      <alignment/>
    </xf>
    <xf numFmtId="0" fontId="3" fillId="0" borderId="0" xfId="0" applyFont="1" applyAlignment="1">
      <alignment/>
    </xf>
    <xf numFmtId="0" fontId="3" fillId="0" borderId="0" xfId="0" applyFont="1" applyAlignment="1">
      <alignment horizontal="center"/>
    </xf>
    <xf numFmtId="164" fontId="3" fillId="0" borderId="0" xfId="0" applyNumberFormat="1" applyFont="1" applyAlignment="1">
      <alignment/>
    </xf>
    <xf numFmtId="0" fontId="4" fillId="0" borderId="11" xfId="0" applyFont="1" applyBorder="1" applyAlignment="1">
      <alignment horizontal="center"/>
    </xf>
    <xf numFmtId="0" fontId="4" fillId="0" borderId="5" xfId="0" applyFont="1" applyBorder="1" applyAlignment="1">
      <alignment horizontal="center"/>
    </xf>
    <xf numFmtId="164" fontId="4" fillId="0" borderId="5" xfId="0" applyNumberFormat="1" applyFont="1" applyBorder="1" applyAlignment="1">
      <alignment horizontal="center"/>
    </xf>
    <xf numFmtId="0" fontId="4" fillId="0" borderId="12" xfId="0" applyFont="1" applyBorder="1" applyAlignment="1">
      <alignment horizontal="center"/>
    </xf>
    <xf numFmtId="0" fontId="0" fillId="0" borderId="13" xfId="0" applyFont="1" applyBorder="1" applyAlignment="1">
      <alignment horizontal="left"/>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2" fontId="0" fillId="0" borderId="16" xfId="0" applyNumberFormat="1" applyBorder="1" applyAlignment="1">
      <alignment horizontal="center" shrinkToFit="1"/>
    </xf>
    <xf numFmtId="0" fontId="0" fillId="0" borderId="17" xfId="0" applyBorder="1" applyAlignment="1">
      <alignment horizontal="center"/>
    </xf>
    <xf numFmtId="0" fontId="0" fillId="32" borderId="18" xfId="0" applyFont="1" applyFill="1" applyBorder="1" applyAlignment="1">
      <alignment horizontal="lef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0" xfId="0" applyFont="1" applyAlignment="1">
      <alignment/>
    </xf>
    <xf numFmtId="0" fontId="0" fillId="0" borderId="18" xfId="0" applyFont="1" applyBorder="1" applyAlignment="1">
      <alignment horizontal="left"/>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0" fillId="34" borderId="13" xfId="53" applyFont="1" applyFill="1" applyBorder="1" applyAlignment="1">
      <alignment/>
    </xf>
    <xf numFmtId="0" fontId="0" fillId="34" borderId="25" xfId="53" applyFont="1" applyFill="1" applyBorder="1" applyAlignment="1">
      <alignment/>
    </xf>
    <xf numFmtId="0" fontId="0" fillId="34" borderId="25" xfId="0" applyFill="1" applyBorder="1" applyAlignment="1">
      <alignment/>
    </xf>
    <xf numFmtId="0" fontId="0" fillId="34" borderId="25" xfId="53" applyFont="1" applyFill="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32" borderId="26" xfId="0" applyFill="1" applyBorder="1" applyAlignment="1">
      <alignment horizontal="center" vertical="center"/>
    </xf>
    <xf numFmtId="0" fontId="0" fillId="34" borderId="27" xfId="0" applyFill="1" applyBorder="1" applyAlignment="1">
      <alignment horizontal="center" vertical="center"/>
    </xf>
    <xf numFmtId="0" fontId="0" fillId="34" borderId="18" xfId="0" applyFill="1" applyBorder="1" applyAlignment="1">
      <alignment/>
    </xf>
    <xf numFmtId="0" fontId="0" fillId="34" borderId="0" xfId="0" applyFill="1" applyAlignment="1">
      <alignment/>
    </xf>
    <xf numFmtId="0" fontId="0" fillId="32" borderId="28" xfId="0" applyFill="1" applyBorder="1" applyAlignment="1">
      <alignment horizontal="center" vertical="center"/>
    </xf>
    <xf numFmtId="0" fontId="0" fillId="34" borderId="29" xfId="0" applyFill="1" applyBorder="1" applyAlignment="1">
      <alignment horizontal="center" vertical="center"/>
    </xf>
    <xf numFmtId="0" fontId="0" fillId="0" borderId="30" xfId="0" applyFont="1" applyBorder="1" applyAlignment="1">
      <alignment horizontal="left"/>
    </xf>
    <xf numFmtId="0" fontId="0" fillId="34" borderId="30" xfId="0" applyFill="1" applyBorder="1" applyAlignment="1">
      <alignment/>
    </xf>
    <xf numFmtId="0" fontId="0" fillId="34" borderId="31" xfId="0" applyFill="1" applyBorder="1" applyAlignment="1">
      <alignment/>
    </xf>
    <xf numFmtId="0" fontId="0" fillId="34" borderId="13" xfId="0" applyFill="1" applyBorder="1" applyAlignment="1">
      <alignment/>
    </xf>
    <xf numFmtId="0" fontId="2" fillId="34" borderId="13" xfId="0" applyFont="1" applyFill="1" applyBorder="1" applyAlignment="1">
      <alignment horizontal="center"/>
    </xf>
    <xf numFmtId="0" fontId="2" fillId="34" borderId="25" xfId="0" applyFont="1" applyFill="1" applyBorder="1" applyAlignment="1">
      <alignment horizontal="center"/>
    </xf>
    <xf numFmtId="0" fontId="0" fillId="34" borderId="18" xfId="0" applyFill="1" applyBorder="1" applyAlignment="1">
      <alignment horizontal="center"/>
    </xf>
    <xf numFmtId="0" fontId="0" fillId="34" borderId="0" xfId="0" applyFill="1" applyAlignment="1">
      <alignment horizontal="center"/>
    </xf>
    <xf numFmtId="0" fontId="2" fillId="34" borderId="0" xfId="0" applyFont="1" applyFill="1" applyAlignment="1">
      <alignment horizontal="center" vertical="center"/>
    </xf>
    <xf numFmtId="0" fontId="2" fillId="34" borderId="0" xfId="0" applyFont="1" applyFill="1" applyAlignment="1">
      <alignment horizontal="center"/>
    </xf>
    <xf numFmtId="0" fontId="0" fillId="34" borderId="25"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2" fontId="0" fillId="0" borderId="23" xfId="0" applyNumberFormat="1" applyBorder="1" applyAlignment="1">
      <alignment horizontal="center" shrinkToFit="1"/>
    </xf>
    <xf numFmtId="0" fontId="0" fillId="0" borderId="24" xfId="0" applyBorder="1" applyAlignment="1">
      <alignment horizontal="center"/>
    </xf>
    <xf numFmtId="0" fontId="6" fillId="0" borderId="32" xfId="0" applyFont="1" applyBorder="1" applyAlignment="1">
      <alignment horizontal="center"/>
    </xf>
    <xf numFmtId="0" fontId="6" fillId="0" borderId="0" xfId="0" applyFont="1" applyAlignment="1">
      <alignment horizontal="center"/>
    </xf>
    <xf numFmtId="0" fontId="0" fillId="0" borderId="0" xfId="0" applyAlignment="1">
      <alignment horizontal="left"/>
    </xf>
    <xf numFmtId="0" fontId="0" fillId="32" borderId="18" xfId="0" applyFill="1" applyBorder="1" applyAlignment="1">
      <alignment horizontal="left"/>
    </xf>
    <xf numFmtId="0" fontId="0" fillId="35" borderId="0" xfId="0" applyFill="1" applyBorder="1" applyAlignment="1">
      <alignment/>
    </xf>
    <xf numFmtId="0" fontId="0" fillId="35" borderId="33" xfId="0" applyFill="1" applyBorder="1" applyAlignment="1">
      <alignment/>
    </xf>
    <xf numFmtId="0" fontId="5" fillId="36" borderId="19" xfId="0" applyFont="1" applyFill="1" applyBorder="1" applyAlignment="1">
      <alignment horizontal="center"/>
    </xf>
    <xf numFmtId="164" fontId="0" fillId="0" borderId="20" xfId="0" applyNumberFormat="1" applyBorder="1" applyAlignment="1">
      <alignment horizontal="center" shrinkToFit="1"/>
    </xf>
    <xf numFmtId="1" fontId="5" fillId="0" borderId="20" xfId="0" applyNumberFormat="1" applyFont="1" applyBorder="1" applyAlignment="1">
      <alignment horizontal="center"/>
    </xf>
    <xf numFmtId="0" fontId="2" fillId="0" borderId="15" xfId="53" applyFont="1" applyFill="1" applyBorder="1" applyAlignment="1">
      <alignment horizontal="center" vertical="center"/>
    </xf>
    <xf numFmtId="0" fontId="2" fillId="0" borderId="16" xfId="53" applyFont="1" applyFill="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0" fillId="0" borderId="0" xfId="0" applyFill="1" applyBorder="1" applyAlignment="1">
      <alignment/>
    </xf>
    <xf numFmtId="0" fontId="0" fillId="0" borderId="0" xfId="0" applyFill="1" applyAlignment="1">
      <alignment/>
    </xf>
    <xf numFmtId="166" fontId="5" fillId="0" borderId="20" xfId="0" applyNumberFormat="1" applyFont="1" applyBorder="1" applyAlignment="1">
      <alignment horizontal="center" shrinkToFit="1"/>
    </xf>
    <xf numFmtId="166" fontId="5" fillId="0" borderId="23" xfId="0" applyNumberFormat="1" applyFont="1" applyBorder="1" applyAlignment="1">
      <alignment horizontal="center" shrinkToFit="1"/>
    </xf>
    <xf numFmtId="166" fontId="5" fillId="0" borderId="16" xfId="0" applyNumberFormat="1" applyFont="1" applyBorder="1" applyAlignment="1">
      <alignment horizontal="center" shrinkToFit="1"/>
    </xf>
    <xf numFmtId="166" fontId="3" fillId="0" borderId="0" xfId="0" applyNumberFormat="1" applyFont="1" applyAlignment="1">
      <alignment/>
    </xf>
    <xf numFmtId="166" fontId="0" fillId="0" borderId="0" xfId="0" applyNumberFormat="1" applyAlignment="1">
      <alignment horizontal="center"/>
    </xf>
    <xf numFmtId="166" fontId="2" fillId="0" borderId="5" xfId="0" applyNumberFormat="1" applyFont="1" applyBorder="1" applyAlignment="1">
      <alignment horizontal="center" vertical="center"/>
    </xf>
    <xf numFmtId="166" fontId="0" fillId="34" borderId="25" xfId="0" applyNumberFormat="1" applyFill="1" applyBorder="1" applyAlignment="1">
      <alignment/>
    </xf>
    <xf numFmtId="166" fontId="0" fillId="34" borderId="0" xfId="0" applyNumberFormat="1" applyFill="1" applyAlignment="1">
      <alignment/>
    </xf>
    <xf numFmtId="166" fontId="2" fillId="34" borderId="0" xfId="0" applyNumberFormat="1" applyFont="1" applyFill="1" applyAlignment="1">
      <alignment horizontal="center"/>
    </xf>
    <xf numFmtId="166" fontId="0" fillId="34" borderId="25" xfId="0" applyNumberFormat="1" applyFill="1" applyBorder="1" applyAlignment="1">
      <alignment horizontal="center"/>
    </xf>
    <xf numFmtId="166" fontId="0" fillId="34" borderId="0" xfId="0" applyNumberFormat="1" applyFill="1" applyAlignment="1">
      <alignment horizontal="center"/>
    </xf>
    <xf numFmtId="166" fontId="0" fillId="0" borderId="0" xfId="0" applyNumberFormat="1" applyAlignment="1">
      <alignment/>
    </xf>
    <xf numFmtId="166" fontId="2" fillId="0" borderId="16" xfId="0" applyNumberFormat="1" applyFont="1" applyBorder="1" applyAlignment="1">
      <alignment horizontal="center" vertical="center"/>
    </xf>
    <xf numFmtId="166" fontId="2" fillId="34" borderId="25" xfId="0" applyNumberFormat="1" applyFont="1" applyFill="1" applyBorder="1" applyAlignment="1">
      <alignment horizontal="center"/>
    </xf>
    <xf numFmtId="166" fontId="3" fillId="0" borderId="0" xfId="0" applyNumberFormat="1" applyFont="1" applyAlignment="1">
      <alignment horizontal="center"/>
    </xf>
    <xf numFmtId="166" fontId="0" fillId="34" borderId="31" xfId="0" applyNumberFormat="1" applyFill="1" applyBorder="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7" fillId="0" borderId="0" xfId="0" applyFont="1" applyBorder="1" applyAlignment="1" applyProtection="1">
      <alignment horizontal="left" vertical="top" indent="1"/>
      <protection locked="0"/>
    </xf>
    <xf numFmtId="0" fontId="0" fillId="0" borderId="0" xfId="0" applyNumberFormat="1" applyAlignment="1">
      <alignment/>
    </xf>
    <xf numFmtId="0" fontId="0" fillId="0" borderId="0" xfId="0" applyNumberFormat="1" applyAlignment="1">
      <alignment horizontal="center"/>
    </xf>
    <xf numFmtId="0" fontId="0" fillId="37" borderId="0" xfId="0" applyFont="1" applyFill="1" applyBorder="1" applyAlignment="1" applyProtection="1">
      <alignment horizontal="center"/>
      <protection locked="0"/>
    </xf>
    <xf numFmtId="0" fontId="0" fillId="37" borderId="0" xfId="0" applyFill="1" applyBorder="1" applyAlignment="1" applyProtection="1">
      <alignment/>
      <protection locked="0"/>
    </xf>
    <xf numFmtId="0" fontId="0" fillId="35" borderId="0" xfId="0" applyFill="1" applyBorder="1" applyAlignment="1" applyProtection="1">
      <alignment/>
      <protection locked="0"/>
    </xf>
    <xf numFmtId="0" fontId="10" fillId="35" borderId="0" xfId="0" applyFont="1" applyFill="1" applyBorder="1" applyAlignment="1">
      <alignment vertical="center"/>
    </xf>
    <xf numFmtId="0" fontId="15" fillId="0" borderId="0" xfId="0" applyFont="1" applyAlignment="1">
      <alignment horizontal="left" vertical="top"/>
    </xf>
    <xf numFmtId="0" fontId="16" fillId="0" borderId="0" xfId="0" applyFont="1" applyAlignment="1">
      <alignment vertical="top" wrapText="1"/>
    </xf>
    <xf numFmtId="0" fontId="0" fillId="35" borderId="0" xfId="0" applyFill="1" applyAlignment="1">
      <alignment/>
    </xf>
    <xf numFmtId="0" fontId="0" fillId="35" borderId="0" xfId="0" applyFill="1" applyAlignment="1">
      <alignment horizontal="left" vertical="top" wrapText="1"/>
    </xf>
    <xf numFmtId="0" fontId="0" fillId="35" borderId="0" xfId="0" applyFill="1" applyAlignment="1">
      <alignment vertical="top"/>
    </xf>
    <xf numFmtId="0" fontId="0" fillId="35" borderId="0" xfId="0" applyFill="1" applyAlignment="1">
      <alignment horizontal="left" vertical="top" wrapText="1"/>
    </xf>
    <xf numFmtId="0" fontId="0" fillId="35" borderId="0" xfId="0" applyFill="1" applyAlignment="1">
      <alignment horizontal="left" vertical="top" wrapText="1"/>
    </xf>
    <xf numFmtId="0" fontId="16" fillId="0" borderId="0" xfId="0" applyFont="1" applyAlignment="1">
      <alignment horizontal="left" vertical="top" wrapText="1"/>
    </xf>
    <xf numFmtId="0" fontId="15" fillId="0" borderId="0" xfId="0" applyFont="1" applyAlignment="1">
      <alignment vertical="top" wrapText="1"/>
    </xf>
    <xf numFmtId="0" fontId="16" fillId="0" borderId="0" xfId="0" applyNumberFormat="1" applyFont="1" applyAlignment="1">
      <alignment vertical="top" wrapText="1"/>
    </xf>
    <xf numFmtId="0" fontId="17" fillId="0" borderId="0" xfId="0" applyFont="1" applyAlignment="1">
      <alignment vertical="top" wrapText="1"/>
    </xf>
    <xf numFmtId="0" fontId="10" fillId="35" borderId="0" xfId="0" applyFont="1" applyFill="1" applyAlignment="1">
      <alignment/>
    </xf>
    <xf numFmtId="0" fontId="0" fillId="35" borderId="0" xfId="0" applyFill="1" applyAlignment="1">
      <alignment horizontal="left" vertical="top" wrapText="1"/>
    </xf>
    <xf numFmtId="0" fontId="10" fillId="35" borderId="0" xfId="0" applyFont="1" applyFill="1" applyAlignment="1">
      <alignment horizontal="left" vertical="top" wrapText="1"/>
    </xf>
    <xf numFmtId="0" fontId="0" fillId="35" borderId="0" xfId="0" applyFill="1" applyAlignment="1">
      <alignment horizontal="right"/>
    </xf>
    <xf numFmtId="0" fontId="10" fillId="35" borderId="0" xfId="0" applyFont="1" applyFill="1" applyAlignment="1">
      <alignment horizontal="right"/>
    </xf>
    <xf numFmtId="0" fontId="10" fillId="35" borderId="0" xfId="0" applyFont="1" applyFill="1" applyAlignment="1">
      <alignment horizontal="right" vertical="center"/>
    </xf>
    <xf numFmtId="0" fontId="0" fillId="38" borderId="0" xfId="0" applyFont="1" applyFill="1" applyBorder="1" applyAlignment="1" applyProtection="1">
      <alignment horizontal="center" vertical="center"/>
      <protection/>
    </xf>
    <xf numFmtId="0" fontId="0" fillId="35" borderId="0" xfId="0" applyFill="1" applyAlignment="1" applyProtection="1">
      <alignment/>
      <protection/>
    </xf>
    <xf numFmtId="0" fontId="0" fillId="38" borderId="0" xfId="0" applyFont="1" applyFill="1" applyBorder="1" applyAlignment="1" applyProtection="1">
      <alignment horizontal="center"/>
      <protection/>
    </xf>
    <xf numFmtId="49" fontId="0" fillId="38" borderId="0" xfId="0" applyNumberFormat="1" applyFont="1" applyFill="1" applyBorder="1" applyAlignment="1" applyProtection="1">
      <alignment horizontal="center"/>
      <protection/>
    </xf>
    <xf numFmtId="0" fontId="10" fillId="35" borderId="0" xfId="0" applyFont="1" applyFill="1" applyAlignment="1">
      <alignment/>
    </xf>
    <xf numFmtId="0" fontId="0" fillId="38" borderId="0" xfId="0" applyFont="1" applyFill="1" applyAlignment="1">
      <alignment/>
    </xf>
    <xf numFmtId="0" fontId="0" fillId="38" borderId="0" xfId="0" applyFont="1" applyFill="1" applyAlignment="1">
      <alignment vertical="center"/>
    </xf>
    <xf numFmtId="0" fontId="80" fillId="35" borderId="0" xfId="0" applyFont="1" applyFill="1" applyAlignment="1" applyProtection="1">
      <alignment/>
      <protection hidden="1"/>
    </xf>
    <xf numFmtId="0" fontId="80" fillId="35" borderId="0" xfId="0" applyFont="1" applyFill="1" applyAlignment="1" applyProtection="1">
      <alignment horizontal="right"/>
      <protection hidden="1"/>
    </xf>
    <xf numFmtId="0" fontId="0" fillId="35" borderId="0" xfId="0" applyFont="1" applyFill="1" applyAlignment="1">
      <alignment horizontal="right"/>
    </xf>
    <xf numFmtId="49" fontId="0" fillId="38" borderId="0" xfId="0" applyNumberFormat="1" applyFont="1" applyFill="1" applyAlignment="1">
      <alignment/>
    </xf>
    <xf numFmtId="0" fontId="10" fillId="35" borderId="0" xfId="0" applyFont="1" applyFill="1" applyAlignment="1">
      <alignment vertical="center"/>
    </xf>
    <xf numFmtId="165" fontId="0" fillId="38" borderId="0" xfId="0" applyNumberFormat="1" applyFont="1" applyFill="1" applyAlignment="1">
      <alignment vertical="center"/>
    </xf>
    <xf numFmtId="0" fontId="81" fillId="35" borderId="0" xfId="0" applyFont="1" applyFill="1" applyAlignment="1" applyProtection="1">
      <alignment/>
      <protection hidden="1"/>
    </xf>
    <xf numFmtId="0" fontId="81" fillId="35" borderId="0" xfId="0" applyFont="1" applyFill="1" applyAlignment="1" applyProtection="1">
      <alignment horizontal="right"/>
      <protection hidden="1"/>
    </xf>
    <xf numFmtId="0" fontId="10" fillId="35" borderId="0" xfId="0" applyFont="1" applyFill="1" applyBorder="1" applyAlignment="1">
      <alignment vertical="top"/>
    </xf>
    <xf numFmtId="0" fontId="19" fillId="35" borderId="0" xfId="0" applyFont="1" applyFill="1" applyBorder="1" applyAlignment="1">
      <alignment horizontal="center" vertical="center"/>
    </xf>
    <xf numFmtId="0" fontId="10" fillId="35" borderId="0" xfId="0" applyFont="1" applyFill="1" applyAlignment="1" applyProtection="1">
      <alignment horizontal="left"/>
      <protection hidden="1"/>
    </xf>
    <xf numFmtId="0" fontId="10" fillId="35" borderId="0" xfId="0" applyFont="1" applyFill="1" applyBorder="1" applyAlignment="1" applyProtection="1">
      <alignment horizontal="left"/>
      <protection hidden="1"/>
    </xf>
    <xf numFmtId="0" fontId="10" fillId="35" borderId="33" xfId="0" applyFont="1" applyFill="1" applyBorder="1" applyAlignment="1">
      <alignment vertical="top"/>
    </xf>
    <xf numFmtId="0" fontId="10" fillId="35" borderId="33" xfId="0" applyFont="1" applyFill="1" applyBorder="1" applyAlignment="1">
      <alignment vertical="center"/>
    </xf>
    <xf numFmtId="0" fontId="0" fillId="35" borderId="35" xfId="0" applyFill="1" applyBorder="1" applyAlignment="1">
      <alignment/>
    </xf>
    <xf numFmtId="0" fontId="0" fillId="35" borderId="36" xfId="0" applyFill="1" applyBorder="1" applyAlignment="1">
      <alignment/>
    </xf>
    <xf numFmtId="0" fontId="0" fillId="35" borderId="33" xfId="0" applyFill="1" applyBorder="1" applyAlignment="1">
      <alignment vertical="top"/>
    </xf>
    <xf numFmtId="0" fontId="0" fillId="35" borderId="37" xfId="0" applyFill="1" applyBorder="1" applyAlignment="1">
      <alignment/>
    </xf>
    <xf numFmtId="0" fontId="10" fillId="0" borderId="0" xfId="0" applyFont="1" applyFill="1" applyBorder="1" applyAlignment="1">
      <alignment vertical="top"/>
    </xf>
    <xf numFmtId="0" fontId="10" fillId="0" borderId="25" xfId="0" applyFont="1" applyFill="1" applyBorder="1" applyAlignment="1">
      <alignment vertical="center"/>
    </xf>
    <xf numFmtId="0" fontId="10" fillId="0" borderId="31" xfId="0" applyFont="1" applyFill="1" applyBorder="1" applyAlignment="1">
      <alignment vertical="top"/>
    </xf>
    <xf numFmtId="0" fontId="0" fillId="0" borderId="31" xfId="0" applyFill="1" applyBorder="1" applyAlignment="1">
      <alignment/>
    </xf>
    <xf numFmtId="0" fontId="82" fillId="0" borderId="38" xfId="0" applyFont="1" applyFill="1" applyBorder="1" applyAlignment="1" applyProtection="1">
      <alignment vertical="center"/>
      <protection locked="0"/>
    </xf>
    <xf numFmtId="0" fontId="16" fillId="0" borderId="0" xfId="0" applyFont="1" applyFill="1" applyAlignment="1">
      <alignment vertical="top" wrapText="1"/>
    </xf>
    <xf numFmtId="0" fontId="10" fillId="0" borderId="1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0" fillId="35" borderId="0" xfId="0" applyFill="1" applyAlignment="1">
      <alignment horizontal="center" vertical="center"/>
    </xf>
    <xf numFmtId="0" fontId="0" fillId="35" borderId="0" xfId="0" applyFill="1" applyAlignment="1">
      <alignment horizontal="left" vertical="center"/>
    </xf>
    <xf numFmtId="0" fontId="0" fillId="0" borderId="0" xfId="0" applyFill="1" applyBorder="1" applyAlignment="1">
      <alignment/>
    </xf>
    <xf numFmtId="0" fontId="6" fillId="0" borderId="0" xfId="0" applyFont="1" applyFill="1" applyBorder="1" applyAlignment="1">
      <alignment horizontal="left"/>
    </xf>
    <xf numFmtId="0" fontId="5" fillId="0" borderId="0" xfId="0" applyFont="1" applyFill="1" applyBorder="1" applyAlignment="1">
      <alignment/>
    </xf>
    <xf numFmtId="0" fontId="6" fillId="0" borderId="0" xfId="0" applyFont="1" applyFill="1" applyBorder="1" applyAlignment="1">
      <alignment horizontal="left" vertical="center"/>
    </xf>
    <xf numFmtId="0" fontId="20" fillId="0" borderId="0" xfId="0" applyFont="1" applyFill="1" applyBorder="1" applyAlignment="1">
      <alignment/>
    </xf>
    <xf numFmtId="0" fontId="3" fillId="0" borderId="0" xfId="0" applyFont="1" applyFill="1" applyBorder="1" applyAlignment="1">
      <alignment/>
    </xf>
    <xf numFmtId="0" fontId="0" fillId="0" borderId="0" xfId="0" applyFill="1" applyBorder="1" applyAlignment="1">
      <alignment horizontal="center" vertical="center"/>
    </xf>
    <xf numFmtId="0" fontId="0" fillId="0" borderId="31" xfId="0" applyFill="1" applyBorder="1" applyAlignment="1">
      <alignment horizontal="left" indent="1"/>
    </xf>
    <xf numFmtId="0" fontId="9" fillId="0" borderId="39"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2" fontId="2" fillId="0" borderId="47" xfId="0" applyNumberFormat="1"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0" fillId="0" borderId="51" xfId="0" applyFill="1" applyBorder="1" applyAlignment="1">
      <alignment/>
    </xf>
    <xf numFmtId="0" fontId="23" fillId="0" borderId="52" xfId="0" applyFont="1" applyFill="1" applyBorder="1" applyAlignment="1">
      <alignment horizontal="center" vertical="center" shrinkToFit="1"/>
    </xf>
    <xf numFmtId="0" fontId="23" fillId="0" borderId="52" xfId="0" applyFont="1" applyFill="1" applyBorder="1" applyAlignment="1">
      <alignment horizontal="center" vertical="center"/>
    </xf>
    <xf numFmtId="2" fontId="10" fillId="0" borderId="0" xfId="0" applyNumberFormat="1" applyFont="1" applyFill="1" applyBorder="1" applyAlignment="1">
      <alignment horizontal="center" vertical="center" shrinkToFit="1"/>
    </xf>
    <xf numFmtId="0" fontId="1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xf>
    <xf numFmtId="0" fontId="8" fillId="0" borderId="0" xfId="0" applyFont="1" applyFill="1" applyBorder="1" applyAlignment="1">
      <alignment/>
    </xf>
    <xf numFmtId="0" fontId="0" fillId="0" borderId="0" xfId="0"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0" fillId="0" borderId="0" xfId="0" applyFill="1" applyBorder="1" applyAlignment="1">
      <alignment vertical="top"/>
    </xf>
    <xf numFmtId="0" fontId="0" fillId="0" borderId="53" xfId="0" applyFill="1" applyBorder="1" applyAlignment="1">
      <alignment/>
    </xf>
    <xf numFmtId="0" fontId="0" fillId="0" borderId="36" xfId="0" applyFill="1" applyBorder="1" applyAlignment="1">
      <alignment/>
    </xf>
    <xf numFmtId="0" fontId="0" fillId="0" borderId="36" xfId="0" applyFill="1" applyBorder="1" applyAlignment="1">
      <alignment horizontal="center" vertical="center"/>
    </xf>
    <xf numFmtId="0" fontId="0" fillId="0" borderId="54" xfId="0" applyFill="1" applyBorder="1" applyAlignment="1">
      <alignment/>
    </xf>
    <xf numFmtId="0" fontId="0" fillId="0" borderId="35" xfId="0" applyFill="1" applyBorder="1" applyAlignment="1">
      <alignment horizontal="left" vertical="center"/>
    </xf>
    <xf numFmtId="0" fontId="0" fillId="0" borderId="37" xfId="0" applyFill="1" applyBorder="1" applyAlignment="1">
      <alignment horizontal="left" vertical="center"/>
    </xf>
    <xf numFmtId="0" fontId="0" fillId="0" borderId="35" xfId="0" applyFill="1" applyBorder="1" applyAlignment="1">
      <alignment/>
    </xf>
    <xf numFmtId="0" fontId="0" fillId="0" borderId="37" xfId="0" applyFill="1" applyBorder="1" applyAlignment="1">
      <alignment/>
    </xf>
    <xf numFmtId="0" fontId="0" fillId="0" borderId="35" xfId="0" applyFill="1" applyBorder="1" applyAlignment="1">
      <alignment vertical="top"/>
    </xf>
    <xf numFmtId="0" fontId="0" fillId="0" borderId="37" xfId="0" applyFill="1" applyBorder="1" applyAlignment="1">
      <alignment vertical="top"/>
    </xf>
    <xf numFmtId="0" fontId="0" fillId="0" borderId="55" xfId="0" applyFill="1" applyBorder="1" applyAlignment="1">
      <alignment/>
    </xf>
    <xf numFmtId="0" fontId="0" fillId="0" borderId="33" xfId="0" applyFill="1" applyBorder="1" applyAlignment="1">
      <alignment/>
    </xf>
    <xf numFmtId="0" fontId="0" fillId="0" borderId="33" xfId="0" applyFill="1" applyBorder="1" applyAlignment="1">
      <alignment horizontal="center" vertical="center"/>
    </xf>
    <xf numFmtId="0" fontId="0" fillId="0" borderId="56" xfId="0" applyFill="1" applyBorder="1" applyAlignment="1">
      <alignment/>
    </xf>
    <xf numFmtId="0" fontId="0" fillId="35" borderId="53" xfId="0" applyFill="1" applyBorder="1" applyAlignment="1">
      <alignment/>
    </xf>
    <xf numFmtId="0" fontId="0" fillId="35" borderId="36" xfId="0" applyFill="1" applyBorder="1" applyAlignment="1" applyProtection="1">
      <alignment/>
      <protection/>
    </xf>
    <xf numFmtId="0" fontId="0" fillId="35" borderId="0" xfId="0" applyFill="1" applyBorder="1" applyAlignment="1">
      <alignment horizontal="right"/>
    </xf>
    <xf numFmtId="0" fontId="10" fillId="35" borderId="35" xfId="0" applyFont="1" applyFill="1" applyBorder="1" applyAlignment="1">
      <alignment/>
    </xf>
    <xf numFmtId="0" fontId="0" fillId="38" borderId="37" xfId="0" applyFont="1" applyFill="1" applyBorder="1" applyAlignment="1" applyProtection="1">
      <alignment horizontal="center"/>
      <protection/>
    </xf>
    <xf numFmtId="0" fontId="0" fillId="35" borderId="55" xfId="0" applyFill="1" applyBorder="1" applyAlignment="1">
      <alignment/>
    </xf>
    <xf numFmtId="0" fontId="0" fillId="35" borderId="33" xfId="0" applyFill="1" applyBorder="1" applyAlignment="1">
      <alignment horizontal="right"/>
    </xf>
    <xf numFmtId="0" fontId="0" fillId="35" borderId="33" xfId="0" applyFill="1" applyBorder="1" applyAlignment="1" applyProtection="1">
      <alignment horizontal="right"/>
      <protection/>
    </xf>
    <xf numFmtId="0" fontId="0" fillId="35" borderId="56" xfId="0" applyFill="1" applyBorder="1" applyAlignment="1" applyProtection="1">
      <alignment/>
      <protection/>
    </xf>
    <xf numFmtId="0" fontId="0" fillId="35" borderId="0" xfId="0" applyFill="1" applyBorder="1" applyAlignment="1" applyProtection="1">
      <alignment/>
      <protection/>
    </xf>
    <xf numFmtId="0" fontId="10" fillId="35" borderId="36" xfId="0" applyFont="1" applyFill="1" applyBorder="1" applyAlignment="1">
      <alignment/>
    </xf>
    <xf numFmtId="0" fontId="10" fillId="35" borderId="36" xfId="0" applyFont="1" applyFill="1" applyBorder="1" applyAlignment="1">
      <alignment horizontal="right"/>
    </xf>
    <xf numFmtId="0" fontId="10" fillId="35" borderId="36" xfId="0" applyFont="1" applyFill="1" applyBorder="1" applyAlignment="1">
      <alignment horizontal="center"/>
    </xf>
    <xf numFmtId="0" fontId="0" fillId="35" borderId="54" xfId="0" applyFill="1" applyBorder="1" applyAlignment="1">
      <alignment/>
    </xf>
    <xf numFmtId="0" fontId="10" fillId="35" borderId="53" xfId="0" applyFont="1" applyFill="1" applyBorder="1" applyAlignment="1">
      <alignment/>
    </xf>
    <xf numFmtId="0" fontId="10" fillId="35" borderId="36" xfId="0" applyFont="1" applyFill="1" applyBorder="1" applyAlignment="1" applyProtection="1">
      <alignment horizontal="center" vertical="center"/>
      <protection/>
    </xf>
    <xf numFmtId="0" fontId="10" fillId="35" borderId="35" xfId="0" applyFont="1" applyFill="1" applyBorder="1" applyAlignment="1">
      <alignment vertical="center"/>
    </xf>
    <xf numFmtId="0" fontId="0" fillId="35" borderId="0" xfId="0" applyFill="1" applyBorder="1" applyAlignment="1">
      <alignment horizontal="center" vertical="center"/>
    </xf>
    <xf numFmtId="0" fontId="0" fillId="35" borderId="0" xfId="0" applyFill="1" applyBorder="1" applyAlignment="1">
      <alignment horizontal="center"/>
    </xf>
    <xf numFmtId="0" fontId="0" fillId="35" borderId="56" xfId="0" applyFill="1" applyBorder="1" applyAlignment="1">
      <alignment/>
    </xf>
    <xf numFmtId="0" fontId="0" fillId="35" borderId="0" xfId="0" applyFill="1" applyBorder="1" applyAlignment="1" applyProtection="1">
      <alignment horizontal="right"/>
      <protection/>
    </xf>
    <xf numFmtId="0" fontId="0" fillId="35" borderId="0" xfId="0" applyNumberFormat="1" applyFill="1" applyBorder="1" applyAlignment="1" applyProtection="1">
      <alignment horizontal="center"/>
      <protection/>
    </xf>
    <xf numFmtId="0" fontId="0" fillId="35" borderId="0" xfId="0" applyFill="1" applyBorder="1" applyAlignment="1" applyProtection="1">
      <alignment horizontal="center"/>
      <protection/>
    </xf>
    <xf numFmtId="2" fontId="0" fillId="39" borderId="38" xfId="0" applyNumberFormat="1" applyFill="1" applyBorder="1" applyAlignment="1" applyProtection="1">
      <alignment horizontal="right"/>
      <protection/>
    </xf>
    <xf numFmtId="0" fontId="0" fillId="39" borderId="38" xfId="0" applyFill="1" applyBorder="1" applyAlignment="1">
      <alignment/>
    </xf>
    <xf numFmtId="0" fontId="0" fillId="35" borderId="54" xfId="0" applyFill="1" applyBorder="1" applyAlignment="1">
      <alignment/>
    </xf>
    <xf numFmtId="0" fontId="10" fillId="35" borderId="36" xfId="0" applyFont="1" applyFill="1" applyBorder="1" applyAlignment="1">
      <alignment/>
    </xf>
    <xf numFmtId="0" fontId="0" fillId="35" borderId="20" xfId="0" applyFill="1" applyBorder="1" applyAlignment="1" applyProtection="1">
      <alignment horizontal="left"/>
      <protection/>
    </xf>
    <xf numFmtId="0" fontId="0" fillId="35" borderId="0" xfId="0" applyFill="1" applyBorder="1" applyAlignment="1" applyProtection="1">
      <alignment horizontal="left"/>
      <protection/>
    </xf>
    <xf numFmtId="0" fontId="0" fillId="0" borderId="57" xfId="0" applyNumberFormat="1" applyFill="1" applyBorder="1" applyAlignment="1" applyProtection="1">
      <alignment horizontal="right"/>
      <protection locked="0"/>
    </xf>
    <xf numFmtId="0" fontId="0" fillId="35" borderId="0" xfId="0" applyFill="1" applyBorder="1" applyAlignment="1">
      <alignment vertical="center"/>
    </xf>
    <xf numFmtId="0" fontId="81" fillId="35" borderId="0" xfId="0" applyFont="1" applyFill="1" applyAlignment="1" applyProtection="1">
      <alignment horizontal="right"/>
      <protection/>
    </xf>
    <xf numFmtId="2" fontId="0" fillId="40" borderId="38" xfId="0" applyNumberFormat="1" applyFill="1" applyBorder="1" applyAlignment="1" applyProtection="1">
      <alignment horizontal="right"/>
      <protection/>
    </xf>
    <xf numFmtId="0" fontId="0" fillId="40" borderId="38" xfId="0" applyFill="1" applyBorder="1" applyAlignment="1" applyProtection="1">
      <alignment horizontal="right"/>
      <protection/>
    </xf>
    <xf numFmtId="0" fontId="0" fillId="35" borderId="0" xfId="0" applyFill="1" applyBorder="1" applyAlignment="1" applyProtection="1">
      <alignment vertical="top" wrapText="1"/>
      <protection/>
    </xf>
    <xf numFmtId="0" fontId="0" fillId="35" borderId="36" xfId="0" applyFill="1" applyBorder="1" applyAlignment="1" applyProtection="1">
      <alignment/>
      <protection/>
    </xf>
    <xf numFmtId="0" fontId="0" fillId="35" borderId="36" xfId="0" applyFill="1" applyBorder="1" applyAlignment="1" applyProtection="1">
      <alignment vertical="top" wrapText="1"/>
      <protection/>
    </xf>
    <xf numFmtId="0" fontId="0" fillId="35" borderId="0" xfId="0" applyNumberFormat="1" applyFill="1" applyBorder="1" applyAlignment="1" applyProtection="1">
      <alignment horizontal="right"/>
      <protection locked="0"/>
    </xf>
    <xf numFmtId="0" fontId="0" fillId="0" borderId="36" xfId="0" applyFill="1" applyBorder="1" applyAlignment="1">
      <alignment vertical="center"/>
    </xf>
    <xf numFmtId="0" fontId="0" fillId="0" borderId="36" xfId="0" applyFont="1" applyFill="1" applyBorder="1" applyAlignment="1" applyProtection="1">
      <alignment horizontal="center"/>
      <protection/>
    </xf>
    <xf numFmtId="0" fontId="0" fillId="0" borderId="36" xfId="0" applyFill="1" applyBorder="1" applyAlignment="1" applyProtection="1">
      <alignment/>
      <protection/>
    </xf>
    <xf numFmtId="0" fontId="0" fillId="0" borderId="0" xfId="0" applyFill="1" applyBorder="1" applyAlignment="1" applyProtection="1">
      <alignment/>
      <protection/>
    </xf>
    <xf numFmtId="0" fontId="10" fillId="0" borderId="35" xfId="0" applyFont="1" applyFill="1" applyBorder="1" applyAlignment="1">
      <alignment/>
    </xf>
    <xf numFmtId="0" fontId="0" fillId="0" borderId="0" xfId="0" applyFill="1" applyBorder="1" applyAlignment="1">
      <alignment horizontal="right"/>
    </xf>
    <xf numFmtId="2" fontId="83" fillId="0" borderId="0" xfId="0" applyNumberFormat="1" applyFont="1" applyFill="1" applyBorder="1" applyAlignment="1">
      <alignment/>
    </xf>
    <xf numFmtId="0" fontId="0" fillId="0" borderId="33" xfId="0" applyFill="1" applyBorder="1" applyAlignment="1">
      <alignment horizontal="right"/>
    </xf>
    <xf numFmtId="0" fontId="0" fillId="37" borderId="0" xfId="0" applyFill="1" applyAlignment="1">
      <alignment horizontal="left" vertical="center"/>
    </xf>
    <xf numFmtId="0" fontId="0" fillId="37" borderId="0" xfId="0" applyFill="1" applyAlignment="1">
      <alignment/>
    </xf>
    <xf numFmtId="0" fontId="0" fillId="37" borderId="0" xfId="0" applyFill="1" applyAlignment="1">
      <alignment vertical="top"/>
    </xf>
    <xf numFmtId="0" fontId="0" fillId="37" borderId="0" xfId="0" applyFill="1" applyAlignment="1">
      <alignment horizontal="center" vertical="center"/>
    </xf>
    <xf numFmtId="0" fontId="0" fillId="37" borderId="0" xfId="0" applyFill="1" applyAlignment="1">
      <alignment horizontal="right"/>
    </xf>
    <xf numFmtId="0" fontId="10" fillId="35" borderId="0" xfId="0" applyFont="1" applyFill="1" applyBorder="1" applyAlignment="1">
      <alignment horizontal="right"/>
    </xf>
    <xf numFmtId="0" fontId="0" fillId="0" borderId="0" xfId="0" applyFont="1" applyFill="1" applyAlignment="1">
      <alignment/>
    </xf>
    <xf numFmtId="0" fontId="0" fillId="0" borderId="0" xfId="0" applyFill="1" applyAlignment="1">
      <alignment horizontal="center"/>
    </xf>
    <xf numFmtId="166" fontId="0" fillId="0" borderId="0" xfId="0" applyNumberFormat="1" applyFill="1" applyAlignment="1">
      <alignment horizontal="center"/>
    </xf>
    <xf numFmtId="0" fontId="0" fillId="0" borderId="0" xfId="0" applyNumberFormat="1" applyFill="1" applyAlignment="1">
      <alignment horizontal="center"/>
    </xf>
    <xf numFmtId="167" fontId="0" fillId="0" borderId="0" xfId="0" applyNumberFormat="1" applyFill="1" applyAlignment="1">
      <alignment horizontal="center"/>
    </xf>
    <xf numFmtId="168" fontId="0" fillId="0" borderId="0" xfId="0" applyNumberFormat="1" applyFill="1" applyAlignment="1">
      <alignment horizont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41" borderId="26" xfId="0" applyFill="1" applyBorder="1" applyAlignment="1">
      <alignment horizontal="center" vertical="center"/>
    </xf>
    <xf numFmtId="0" fontId="0" fillId="41" borderId="58" xfId="0" applyFill="1" applyBorder="1" applyAlignment="1">
      <alignment horizontal="center" vertical="center"/>
    </xf>
    <xf numFmtId="0" fontId="0" fillId="41" borderId="27" xfId="0" applyFill="1" applyBorder="1" applyAlignment="1">
      <alignment horizontal="center" vertical="center"/>
    </xf>
    <xf numFmtId="0" fontId="0" fillId="42" borderId="27" xfId="0" applyFill="1" applyBorder="1" applyAlignment="1">
      <alignment horizontal="center" vertical="center"/>
    </xf>
    <xf numFmtId="0" fontId="0" fillId="41" borderId="28" xfId="0" applyFill="1" applyBorder="1" applyAlignment="1">
      <alignment horizontal="center" vertical="center"/>
    </xf>
    <xf numFmtId="0" fontId="0" fillId="41" borderId="59" xfId="0" applyFill="1" applyBorder="1" applyAlignment="1">
      <alignment horizontal="center" vertical="center"/>
    </xf>
    <xf numFmtId="0" fontId="0" fillId="41" borderId="29" xfId="0" applyFill="1" applyBorder="1" applyAlignment="1">
      <alignment horizontal="center" vertical="center"/>
    </xf>
    <xf numFmtId="0" fontId="0" fillId="42" borderId="29" xfId="0" applyFill="1" applyBorder="1" applyAlignment="1">
      <alignment horizontal="center" vertical="center"/>
    </xf>
    <xf numFmtId="0" fontId="0" fillId="41" borderId="18" xfId="53" applyFont="1" applyFill="1" applyBorder="1" applyAlignment="1">
      <alignment/>
    </xf>
    <xf numFmtId="0" fontId="0" fillId="41" borderId="0" xfId="0" applyFill="1" applyAlignment="1">
      <alignment/>
    </xf>
    <xf numFmtId="0" fontId="0" fillId="41" borderId="18" xfId="0" applyFill="1" applyBorder="1" applyAlignment="1">
      <alignment horizontal="center"/>
    </xf>
    <xf numFmtId="166" fontId="0" fillId="34" borderId="26" xfId="0" applyNumberFormat="1" applyFill="1" applyBorder="1" applyAlignment="1">
      <alignment horizontal="center" vertical="center" shrinkToFit="1"/>
    </xf>
    <xf numFmtId="166" fontId="0" fillId="34" borderId="28" xfId="0" applyNumberFormat="1" applyFill="1" applyBorder="1" applyAlignment="1">
      <alignment horizontal="center" vertical="center" shrinkToFit="1"/>
    </xf>
    <xf numFmtId="1" fontId="0" fillId="32" borderId="26" xfId="0" applyNumberFormat="1" applyFill="1" applyBorder="1" applyAlignment="1">
      <alignment horizontal="center" vertical="center"/>
    </xf>
    <xf numFmtId="166" fontId="0" fillId="42" borderId="26" xfId="0" applyNumberFormat="1" applyFill="1" applyBorder="1" applyAlignment="1">
      <alignment horizontal="center" vertical="center" shrinkToFit="1"/>
    </xf>
    <xf numFmtId="166" fontId="0" fillId="42" borderId="28" xfId="0" applyNumberFormat="1" applyFill="1" applyBorder="1" applyAlignment="1">
      <alignment horizontal="center" vertical="center" shrinkToFit="1"/>
    </xf>
    <xf numFmtId="166" fontId="0" fillId="41" borderId="26" xfId="0" applyNumberFormat="1" applyFill="1" applyBorder="1" applyAlignment="1">
      <alignment horizontal="center" vertical="center" shrinkToFit="1"/>
    </xf>
    <xf numFmtId="166" fontId="0" fillId="41" borderId="28" xfId="0" applyNumberFormat="1" applyFill="1" applyBorder="1" applyAlignment="1">
      <alignment horizontal="center" vertical="center" shrinkToFit="1"/>
    </xf>
    <xf numFmtId="0" fontId="0" fillId="41" borderId="18" xfId="0" applyFill="1" applyBorder="1" applyAlignment="1">
      <alignment horizontal="left"/>
    </xf>
    <xf numFmtId="0" fontId="0" fillId="41" borderId="18" xfId="0" applyFont="1" applyFill="1" applyBorder="1" applyAlignment="1">
      <alignment horizontal="left"/>
    </xf>
    <xf numFmtId="0" fontId="67" fillId="0" borderId="0" xfId="52" applyFont="1" applyProtection="1">
      <alignment/>
      <protection/>
    </xf>
    <xf numFmtId="0" fontId="62" fillId="0" borderId="0" xfId="52" applyProtection="1">
      <alignment/>
      <protection/>
    </xf>
    <xf numFmtId="0" fontId="67" fillId="0" borderId="52" xfId="52" applyFont="1" applyBorder="1" applyProtection="1">
      <alignment/>
      <protection/>
    </xf>
    <xf numFmtId="0" fontId="67" fillId="0" borderId="15" xfId="52" applyFont="1" applyBorder="1" applyProtection="1">
      <alignment/>
      <protection/>
    </xf>
    <xf numFmtId="0" fontId="67" fillId="0" borderId="16" xfId="52" applyFont="1" applyBorder="1" applyProtection="1">
      <alignment/>
      <protection/>
    </xf>
    <xf numFmtId="0" fontId="67" fillId="0" borderId="34" xfId="52" applyFont="1" applyBorder="1" applyProtection="1">
      <alignment/>
      <protection/>
    </xf>
    <xf numFmtId="0" fontId="67" fillId="0" borderId="60" xfId="52" applyFont="1" applyBorder="1" applyProtection="1">
      <alignment/>
      <protection/>
    </xf>
    <xf numFmtId="0" fontId="67" fillId="0" borderId="5" xfId="52" applyFont="1" applyBorder="1" applyProtection="1">
      <alignment/>
      <protection/>
    </xf>
    <xf numFmtId="0" fontId="67" fillId="0" borderId="14" xfId="52" applyFont="1" applyBorder="1" applyProtection="1">
      <alignment/>
      <protection/>
    </xf>
    <xf numFmtId="0" fontId="62" fillId="0" borderId="24" xfId="52" applyBorder="1" applyProtection="1">
      <alignment/>
      <protection/>
    </xf>
    <xf numFmtId="0" fontId="67" fillId="0" borderId="61" xfId="52" applyFont="1" applyBorder="1" applyProtection="1">
      <alignment/>
      <protection/>
    </xf>
    <xf numFmtId="0" fontId="62" fillId="35" borderId="26" xfId="52" applyFill="1" applyBorder="1" applyProtection="1">
      <alignment/>
      <protection/>
    </xf>
    <xf numFmtId="0" fontId="62" fillId="0" borderId="58" xfId="52" applyBorder="1" applyProtection="1">
      <alignment/>
      <protection/>
    </xf>
    <xf numFmtId="0" fontId="62" fillId="0" borderId="62" xfId="52" applyBorder="1" applyProtection="1">
      <alignment/>
      <protection/>
    </xf>
    <xf numFmtId="0" fontId="67" fillId="0" borderId="63" xfId="52" applyFont="1" applyBorder="1" applyProtection="1">
      <alignment/>
      <protection/>
    </xf>
    <xf numFmtId="0" fontId="62" fillId="35" borderId="56" xfId="52" applyFill="1" applyBorder="1" applyProtection="1">
      <alignment/>
      <protection/>
    </xf>
    <xf numFmtId="0" fontId="62" fillId="0" borderId="64" xfId="52" applyBorder="1" applyProtection="1">
      <alignment/>
      <protection/>
    </xf>
    <xf numFmtId="0" fontId="67" fillId="0" borderId="65" xfId="52" applyFont="1" applyBorder="1" applyProtection="1">
      <alignment/>
      <protection/>
    </xf>
    <xf numFmtId="0" fontId="67" fillId="0" borderId="66" xfId="52" applyFont="1" applyBorder="1" applyProtection="1">
      <alignment/>
      <protection/>
    </xf>
    <xf numFmtId="0" fontId="62" fillId="0" borderId="67" xfId="52" applyBorder="1" applyProtection="1">
      <alignment/>
      <protection/>
    </xf>
    <xf numFmtId="0" fontId="62" fillId="35" borderId="38" xfId="52" applyFill="1" applyBorder="1" applyProtection="1">
      <alignment/>
      <protection/>
    </xf>
    <xf numFmtId="0" fontId="62" fillId="0" borderId="38" xfId="52" applyBorder="1" applyProtection="1">
      <alignment/>
      <protection/>
    </xf>
    <xf numFmtId="0" fontId="62" fillId="0" borderId="68" xfId="52" applyBorder="1" applyProtection="1">
      <alignment/>
      <protection/>
    </xf>
    <xf numFmtId="0" fontId="67" fillId="0" borderId="69" xfId="52" applyFont="1" applyBorder="1" applyProtection="1">
      <alignment/>
      <protection/>
    </xf>
    <xf numFmtId="0" fontId="67" fillId="0" borderId="70" xfId="52" applyFont="1" applyBorder="1" applyProtection="1">
      <alignment/>
      <protection/>
    </xf>
    <xf numFmtId="0" fontId="62" fillId="0" borderId="71" xfId="52" applyBorder="1" applyProtection="1">
      <alignment/>
      <protection/>
    </xf>
    <xf numFmtId="0" fontId="67" fillId="0" borderId="72" xfId="52" applyFont="1" applyBorder="1" applyProtection="1">
      <alignment/>
      <protection/>
    </xf>
    <xf numFmtId="0" fontId="62" fillId="0" borderId="28" xfId="52" applyBorder="1" applyProtection="1">
      <alignment/>
      <protection/>
    </xf>
    <xf numFmtId="0" fontId="62" fillId="0" borderId="59" xfId="52" applyBorder="1" applyProtection="1">
      <alignment/>
      <protection/>
    </xf>
    <xf numFmtId="0" fontId="62" fillId="35" borderId="73" xfId="52" applyFill="1" applyBorder="1" applyProtection="1">
      <alignment/>
      <protection/>
    </xf>
    <xf numFmtId="0" fontId="67" fillId="0" borderId="29" xfId="52" applyFont="1" applyBorder="1" applyProtection="1">
      <alignment/>
      <protection/>
    </xf>
    <xf numFmtId="0" fontId="67" fillId="0" borderId="32" xfId="52" applyFont="1" applyBorder="1" applyProtection="1">
      <alignment/>
      <protection/>
    </xf>
    <xf numFmtId="0" fontId="62" fillId="0" borderId="74" xfId="52" applyBorder="1" applyProtection="1">
      <alignment/>
      <protection/>
    </xf>
    <xf numFmtId="0" fontId="62" fillId="35" borderId="59" xfId="52" applyFill="1" applyBorder="1" applyProtection="1">
      <alignment/>
      <protection/>
    </xf>
    <xf numFmtId="0" fontId="62" fillId="0" borderId="0" xfId="52" applyBorder="1" applyProtection="1">
      <alignment/>
      <protection/>
    </xf>
    <xf numFmtId="0" fontId="67" fillId="0" borderId="0" xfId="52" applyFont="1" applyBorder="1" applyProtection="1">
      <alignment/>
      <protection/>
    </xf>
    <xf numFmtId="0" fontId="62" fillId="0" borderId="75" xfId="52" applyBorder="1" applyProtection="1">
      <alignment/>
      <protection/>
    </xf>
    <xf numFmtId="0" fontId="62" fillId="0" borderId="27" xfId="52" applyBorder="1" applyProtection="1">
      <alignment/>
      <protection/>
    </xf>
    <xf numFmtId="0" fontId="62" fillId="0" borderId="70" xfId="52" applyBorder="1" applyProtection="1">
      <alignment/>
      <protection/>
    </xf>
    <xf numFmtId="0" fontId="62" fillId="0" borderId="69" xfId="52" applyBorder="1" applyProtection="1">
      <alignment/>
      <protection/>
    </xf>
    <xf numFmtId="0" fontId="0" fillId="0" borderId="0" xfId="52" applyFont="1" applyBorder="1" applyProtection="1">
      <alignment/>
      <protection/>
    </xf>
    <xf numFmtId="0" fontId="84" fillId="0" borderId="0" xfId="52" applyFont="1" applyFill="1" applyBorder="1" applyProtection="1">
      <alignment/>
      <protection/>
    </xf>
    <xf numFmtId="0" fontId="62" fillId="0" borderId="32" xfId="52" applyBorder="1" applyProtection="1">
      <alignment/>
      <protection/>
    </xf>
    <xf numFmtId="0" fontId="85" fillId="0" borderId="0" xfId="52" applyFont="1" applyFill="1" applyBorder="1" applyProtection="1">
      <alignment/>
      <protection/>
    </xf>
    <xf numFmtId="0" fontId="67" fillId="0" borderId="0" xfId="52" applyFont="1" applyFill="1" applyBorder="1" applyProtection="1">
      <alignment/>
      <protection/>
    </xf>
    <xf numFmtId="0" fontId="62" fillId="0" borderId="13" xfId="52" applyBorder="1" applyProtection="1">
      <alignment/>
      <protection/>
    </xf>
    <xf numFmtId="0" fontId="62" fillId="0" borderId="25" xfId="52" applyBorder="1" applyProtection="1">
      <alignment/>
      <protection/>
    </xf>
    <xf numFmtId="0" fontId="84" fillId="0" borderId="25" xfId="52" applyFont="1" applyFill="1" applyBorder="1" applyProtection="1">
      <alignment/>
      <protection/>
    </xf>
    <xf numFmtId="0" fontId="85" fillId="0" borderId="25" xfId="52" applyFont="1" applyFill="1" applyBorder="1" applyProtection="1">
      <alignment/>
      <protection/>
    </xf>
    <xf numFmtId="0" fontId="67" fillId="0" borderId="25" xfId="52" applyFont="1" applyBorder="1" applyProtection="1">
      <alignment/>
      <protection/>
    </xf>
    <xf numFmtId="0" fontId="26" fillId="0" borderId="17" xfId="52" applyFont="1" applyFill="1" applyBorder="1" applyProtection="1">
      <alignment/>
      <protection/>
    </xf>
    <xf numFmtId="0" fontId="62" fillId="0" borderId="18" xfId="52" applyBorder="1" applyProtection="1">
      <alignment/>
      <protection/>
    </xf>
    <xf numFmtId="0" fontId="84" fillId="0" borderId="21" xfId="52" applyFont="1" applyFill="1" applyBorder="1" applyProtection="1">
      <alignment/>
      <protection/>
    </xf>
    <xf numFmtId="0" fontId="26" fillId="0" borderId="76" xfId="52" applyFont="1" applyFill="1" applyBorder="1" applyProtection="1">
      <alignment/>
      <protection/>
    </xf>
    <xf numFmtId="0" fontId="67" fillId="0" borderId="21" xfId="52" applyFont="1" applyBorder="1" applyProtection="1">
      <alignment/>
      <protection/>
    </xf>
    <xf numFmtId="0" fontId="26" fillId="0" borderId="77" xfId="52" applyFont="1" applyFill="1" applyBorder="1" applyProtection="1">
      <alignment/>
      <protection/>
    </xf>
    <xf numFmtId="0" fontId="10" fillId="0" borderId="21" xfId="52" applyFont="1" applyBorder="1" applyProtection="1">
      <alignment/>
      <protection/>
    </xf>
    <xf numFmtId="0" fontId="26" fillId="0" borderId="77" xfId="52" applyFont="1" applyBorder="1" applyProtection="1">
      <alignment/>
      <protection/>
    </xf>
    <xf numFmtId="0" fontId="26" fillId="0" borderId="21" xfId="52" applyFont="1" applyFill="1" applyBorder="1" applyProtection="1">
      <alignment/>
      <protection/>
    </xf>
    <xf numFmtId="0" fontId="62" fillId="35" borderId="29" xfId="52" applyFill="1" applyBorder="1" applyProtection="1">
      <alignment/>
      <protection/>
    </xf>
    <xf numFmtId="0" fontId="26" fillId="0" borderId="78" xfId="52" applyFont="1" applyBorder="1" applyProtection="1">
      <alignment/>
      <protection/>
    </xf>
    <xf numFmtId="0" fontId="62" fillId="0" borderId="30" xfId="52" applyBorder="1" applyProtection="1">
      <alignment/>
      <protection/>
    </xf>
    <xf numFmtId="0" fontId="62" fillId="0" borderId="31" xfId="52" applyBorder="1" applyProtection="1">
      <alignment/>
      <protection/>
    </xf>
    <xf numFmtId="0" fontId="67" fillId="0" borderId="31" xfId="52" applyFont="1" applyBorder="1" applyProtection="1">
      <alignment/>
      <protection/>
    </xf>
    <xf numFmtId="0" fontId="84" fillId="0" borderId="31" xfId="52" applyFont="1" applyFill="1" applyBorder="1" applyProtection="1">
      <alignment/>
      <protection/>
    </xf>
    <xf numFmtId="0" fontId="84" fillId="0" borderId="24" xfId="52" applyFont="1" applyFill="1" applyBorder="1" applyProtection="1">
      <alignment/>
      <protection/>
    </xf>
    <xf numFmtId="0" fontId="62" fillId="0" borderId="58" xfId="52" applyBorder="1" applyAlignment="1" applyProtection="1">
      <alignment horizontal="right"/>
      <protection/>
    </xf>
    <xf numFmtId="0" fontId="62" fillId="0" borderId="38" xfId="52" applyBorder="1" applyAlignment="1" applyProtection="1">
      <alignment horizontal="right"/>
      <protection/>
    </xf>
    <xf numFmtId="0" fontId="62" fillId="0" borderId="59" xfId="52" applyBorder="1" applyAlignment="1" applyProtection="1">
      <alignment horizontal="right"/>
      <protection/>
    </xf>
    <xf numFmtId="0" fontId="67" fillId="0" borderId="11" xfId="52" applyFont="1" applyBorder="1" applyProtection="1">
      <alignment/>
      <protection/>
    </xf>
    <xf numFmtId="0" fontId="67" fillId="0" borderId="17" xfId="52" applyFont="1" applyBorder="1" applyAlignment="1" applyProtection="1">
      <alignment horizontal="right"/>
      <protection/>
    </xf>
    <xf numFmtId="0" fontId="62" fillId="0" borderId="26" xfId="52" applyBorder="1" applyAlignment="1" applyProtection="1">
      <alignment horizontal="right"/>
      <protection/>
    </xf>
    <xf numFmtId="0" fontId="62" fillId="0" borderId="67" xfId="52" applyBorder="1" applyAlignment="1" applyProtection="1">
      <alignment horizontal="right"/>
      <protection/>
    </xf>
    <xf numFmtId="0" fontId="62" fillId="0" borderId="28" xfId="52" applyBorder="1" applyAlignment="1" applyProtection="1">
      <alignment horizontal="right"/>
      <protection/>
    </xf>
    <xf numFmtId="0" fontId="67" fillId="0" borderId="79" xfId="52" applyFont="1" applyBorder="1" applyProtection="1">
      <alignment/>
      <protection/>
    </xf>
    <xf numFmtId="0" fontId="10" fillId="0" borderId="66" xfId="52" applyFont="1" applyBorder="1" applyProtection="1">
      <alignment/>
      <protection/>
    </xf>
    <xf numFmtId="0" fontId="26" fillId="0" borderId="66" xfId="52" applyFont="1" applyFill="1" applyBorder="1" applyProtection="1">
      <alignment/>
      <protection/>
    </xf>
    <xf numFmtId="0" fontId="26" fillId="0" borderId="72" xfId="52" applyFont="1" applyFill="1" applyBorder="1" applyProtection="1">
      <alignment/>
      <protection/>
    </xf>
    <xf numFmtId="0" fontId="67" fillId="0" borderId="75" xfId="52" applyFont="1" applyBorder="1" applyProtection="1">
      <alignment/>
      <protection/>
    </xf>
    <xf numFmtId="0" fontId="62" fillId="0" borderId="75" xfId="52" applyNumberFormat="1" applyBorder="1" applyProtection="1">
      <alignment/>
      <protection/>
    </xf>
    <xf numFmtId="0" fontId="62" fillId="0" borderId="70" xfId="52" applyNumberFormat="1" applyBorder="1" applyProtection="1">
      <alignment/>
      <protection/>
    </xf>
    <xf numFmtId="0" fontId="62" fillId="0" borderId="32" xfId="52" applyNumberFormat="1" applyBorder="1" applyProtection="1">
      <alignment/>
      <protection/>
    </xf>
    <xf numFmtId="0" fontId="67" fillId="0" borderId="15" xfId="52" applyFont="1" applyBorder="1" applyAlignment="1" applyProtection="1">
      <alignment horizontal="right"/>
      <protection/>
    </xf>
    <xf numFmtId="0" fontId="67" fillId="0" borderId="20" xfId="52" applyFont="1" applyBorder="1" applyAlignment="1" applyProtection="1">
      <alignment horizontal="right"/>
      <protection/>
    </xf>
    <xf numFmtId="0" fontId="67" fillId="0" borderId="35" xfId="52" applyFont="1" applyBorder="1" applyAlignment="1" applyProtection="1">
      <alignment horizontal="right"/>
      <protection/>
    </xf>
    <xf numFmtId="0" fontId="67" fillId="0" borderId="80" xfId="52" applyFont="1" applyBorder="1" applyAlignment="1" applyProtection="1">
      <alignment horizontal="right"/>
      <protection/>
    </xf>
    <xf numFmtId="0" fontId="62" fillId="0" borderId="62" xfId="52" applyBorder="1" applyAlignment="1" applyProtection="1">
      <alignment horizontal="right"/>
      <protection/>
    </xf>
    <xf numFmtId="0" fontId="62" fillId="0" borderId="68" xfId="52" applyBorder="1" applyAlignment="1" applyProtection="1">
      <alignment horizontal="right"/>
      <protection/>
    </xf>
    <xf numFmtId="0" fontId="62" fillId="0" borderId="73" xfId="52" applyBorder="1" applyAlignment="1" applyProtection="1">
      <alignment horizontal="right"/>
      <protection/>
    </xf>
    <xf numFmtId="0" fontId="62" fillId="0" borderId="0" xfId="52" applyFont="1" applyProtection="1">
      <alignment/>
      <protection/>
    </xf>
    <xf numFmtId="0" fontId="62" fillId="0" borderId="75" xfId="52" applyNumberFormat="1" applyFont="1" applyBorder="1" applyProtection="1">
      <alignment/>
      <protection/>
    </xf>
    <xf numFmtId="0" fontId="62" fillId="0" borderId="70" xfId="52" applyNumberFormat="1" applyFont="1" applyBorder="1" applyProtection="1">
      <alignment/>
      <protection/>
    </xf>
    <xf numFmtId="0" fontId="62" fillId="0" borderId="32" xfId="52" applyNumberFormat="1" applyFont="1" applyBorder="1" applyProtection="1">
      <alignment/>
      <protection/>
    </xf>
    <xf numFmtId="0" fontId="67" fillId="0" borderId="0" xfId="52" applyFont="1" applyBorder="1" applyAlignment="1" applyProtection="1">
      <alignment horizontal="right"/>
      <protection/>
    </xf>
    <xf numFmtId="0" fontId="62" fillId="0" borderId="58" xfId="52" applyFill="1" applyBorder="1" applyProtection="1">
      <alignment/>
      <protection/>
    </xf>
    <xf numFmtId="0" fontId="62" fillId="0" borderId="38" xfId="52" applyFill="1" applyBorder="1" applyProtection="1">
      <alignment/>
      <protection/>
    </xf>
    <xf numFmtId="0" fontId="62" fillId="0" borderId="59" xfId="52" applyFill="1" applyBorder="1" applyProtection="1">
      <alignment/>
      <protection/>
    </xf>
    <xf numFmtId="0" fontId="62" fillId="0" borderId="0" xfId="52" applyFill="1" applyBorder="1" applyProtection="1">
      <alignment/>
      <protection/>
    </xf>
    <xf numFmtId="0" fontId="62" fillId="0" borderId="62" xfId="52" applyFill="1" applyBorder="1" applyProtection="1">
      <alignment/>
      <protection/>
    </xf>
    <xf numFmtId="0" fontId="62" fillId="0" borderId="68" xfId="52" applyFill="1" applyBorder="1" applyProtection="1">
      <alignment/>
      <protection/>
    </xf>
    <xf numFmtId="0" fontId="26" fillId="0" borderId="75" xfId="52" applyFont="1" applyFill="1" applyBorder="1" applyProtection="1">
      <alignment/>
      <protection/>
    </xf>
    <xf numFmtId="0" fontId="26" fillId="0" borderId="70" xfId="52" applyFont="1" applyFill="1" applyBorder="1" applyProtection="1">
      <alignment/>
      <protection/>
    </xf>
    <xf numFmtId="0" fontId="26" fillId="0" borderId="32" xfId="52" applyFont="1" applyFill="1" applyBorder="1" applyProtection="1">
      <alignment/>
      <protection/>
    </xf>
    <xf numFmtId="0" fontId="62" fillId="35" borderId="81" xfId="52" applyFill="1" applyBorder="1" applyProtection="1">
      <alignment/>
      <protection/>
    </xf>
    <xf numFmtId="0" fontId="62" fillId="0" borderId="71" xfId="52" applyFill="1" applyBorder="1" applyProtection="1">
      <alignment/>
      <protection/>
    </xf>
    <xf numFmtId="0" fontId="62" fillId="0" borderId="74" xfId="52" applyFill="1" applyBorder="1" applyProtection="1">
      <alignment/>
      <protection/>
    </xf>
    <xf numFmtId="0" fontId="67" fillId="0" borderId="13" xfId="52" applyFont="1" applyBorder="1" applyAlignment="1" applyProtection="1">
      <alignment horizontal="right"/>
      <protection/>
    </xf>
    <xf numFmtId="0" fontId="62" fillId="0" borderId="77" xfId="52" applyBorder="1" applyProtection="1">
      <alignment/>
      <protection/>
    </xf>
    <xf numFmtId="0" fontId="62" fillId="0" borderId="78" xfId="52" applyBorder="1" applyProtection="1">
      <alignment/>
      <protection/>
    </xf>
    <xf numFmtId="0" fontId="62" fillId="0" borderId="38" xfId="52" applyFont="1" applyBorder="1" applyProtection="1">
      <alignment/>
      <protection/>
    </xf>
    <xf numFmtId="0" fontId="62" fillId="0" borderId="59" xfId="52" applyFont="1" applyBorder="1" applyProtection="1">
      <alignment/>
      <protection/>
    </xf>
    <xf numFmtId="0" fontId="62" fillId="0" borderId="21" xfId="52" applyBorder="1" applyProtection="1">
      <alignment/>
      <protection/>
    </xf>
    <xf numFmtId="0" fontId="85" fillId="0" borderId="31" xfId="52" applyFont="1" applyFill="1" applyBorder="1" applyProtection="1">
      <alignment/>
      <protection/>
    </xf>
    <xf numFmtId="0" fontId="62" fillId="0" borderId="38" xfId="52" applyNumberFormat="1" applyFont="1" applyBorder="1" applyProtection="1">
      <alignment/>
      <protection/>
    </xf>
    <xf numFmtId="0" fontId="62" fillId="0" borderId="59" xfId="52" applyNumberFormat="1" applyFont="1" applyBorder="1" applyProtection="1">
      <alignment/>
      <protection/>
    </xf>
    <xf numFmtId="0" fontId="62" fillId="0" borderId="17" xfId="52" applyBorder="1" applyProtection="1">
      <alignment/>
      <protection/>
    </xf>
    <xf numFmtId="0" fontId="67" fillId="0" borderId="77" xfId="52" applyFont="1" applyBorder="1" applyProtection="1">
      <alignment/>
      <protection/>
    </xf>
    <xf numFmtId="0" fontId="67" fillId="0" borderId="78" xfId="52" applyFont="1" applyBorder="1" applyProtection="1">
      <alignment/>
      <protection/>
    </xf>
    <xf numFmtId="166" fontId="62" fillId="0" borderId="67" xfId="52" applyNumberFormat="1" applyFont="1" applyBorder="1" applyProtection="1">
      <alignment/>
      <protection/>
    </xf>
    <xf numFmtId="166" fontId="62" fillId="0" borderId="28" xfId="52" applyNumberFormat="1" applyFont="1" applyBorder="1" applyProtection="1">
      <alignment/>
      <protection/>
    </xf>
    <xf numFmtId="2" fontId="62" fillId="0" borderId="67" xfId="52" applyNumberFormat="1" applyFont="1" applyBorder="1" applyProtection="1">
      <alignment/>
      <protection/>
    </xf>
    <xf numFmtId="2" fontId="62" fillId="0" borderId="28" xfId="52" applyNumberFormat="1" applyFont="1" applyBorder="1" applyProtection="1">
      <alignment/>
      <protection/>
    </xf>
    <xf numFmtId="0" fontId="62" fillId="0" borderId="67" xfId="52" applyFill="1" applyBorder="1" applyProtection="1">
      <alignment/>
      <protection/>
    </xf>
    <xf numFmtId="0" fontId="62" fillId="0" borderId="28" xfId="52" applyFill="1" applyBorder="1" applyProtection="1">
      <alignment/>
      <protection/>
    </xf>
    <xf numFmtId="0" fontId="67" fillId="0" borderId="14" xfId="52" applyFont="1" applyBorder="1" applyAlignment="1" applyProtection="1">
      <alignment horizontal="right"/>
      <protection/>
    </xf>
    <xf numFmtId="0" fontId="67" fillId="0" borderId="21" xfId="52" applyFont="1" applyBorder="1" applyAlignment="1" applyProtection="1">
      <alignment horizontal="right"/>
      <protection/>
    </xf>
    <xf numFmtId="0" fontId="26" fillId="0" borderId="25" xfId="52" applyFont="1" applyFill="1" applyBorder="1" applyProtection="1">
      <alignment/>
      <protection/>
    </xf>
    <xf numFmtId="0" fontId="67" fillId="0" borderId="17" xfId="52" applyFont="1" applyBorder="1" applyProtection="1">
      <alignment/>
      <protection/>
    </xf>
    <xf numFmtId="0" fontId="62" fillId="0" borderId="82" xfId="52" applyBorder="1" applyProtection="1">
      <alignment/>
      <protection/>
    </xf>
    <xf numFmtId="0" fontId="67" fillId="0" borderId="52" xfId="52" applyFont="1" applyBorder="1" applyAlignment="1" applyProtection="1">
      <alignment horizontal="right"/>
      <protection/>
    </xf>
    <xf numFmtId="0" fontId="67" fillId="0" borderId="82" xfId="52" applyFont="1" applyBorder="1" applyProtection="1">
      <alignment/>
      <protection/>
    </xf>
    <xf numFmtId="0" fontId="86" fillId="0" borderId="0" xfId="52" applyFont="1" applyProtection="1">
      <alignment/>
      <protection/>
    </xf>
    <xf numFmtId="170" fontId="62" fillId="0" borderId="67" xfId="52" applyNumberFormat="1" applyFont="1" applyBorder="1" applyProtection="1">
      <alignment/>
      <protection/>
    </xf>
    <xf numFmtId="170" fontId="62" fillId="0" borderId="28" xfId="52" applyNumberFormat="1" applyFont="1" applyBorder="1" applyProtection="1">
      <alignment/>
      <protection/>
    </xf>
    <xf numFmtId="0" fontId="62" fillId="0" borderId="0" xfId="52" applyBorder="1" applyAlignment="1" applyProtection="1">
      <alignment horizontal="right"/>
      <protection/>
    </xf>
    <xf numFmtId="0" fontId="87" fillId="0" borderId="75" xfId="52" applyFont="1" applyBorder="1" applyAlignment="1" applyProtection="1">
      <alignment horizontal="right"/>
      <protection/>
    </xf>
    <xf numFmtId="0" fontId="87" fillId="0" borderId="70" xfId="52" applyFont="1" applyBorder="1" applyAlignment="1" applyProtection="1">
      <alignment horizontal="right"/>
      <protection/>
    </xf>
    <xf numFmtId="0" fontId="87" fillId="0" borderId="32" xfId="52" applyFont="1" applyBorder="1" applyAlignment="1" applyProtection="1">
      <alignment horizontal="right"/>
      <protection/>
    </xf>
    <xf numFmtId="0" fontId="10"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21" xfId="0" applyFont="1" applyFill="1" applyBorder="1" applyAlignment="1">
      <alignment horizontal="left" vertical="center"/>
    </xf>
    <xf numFmtId="0" fontId="23" fillId="0" borderId="0" xfId="0" applyFont="1" applyFill="1" applyBorder="1" applyAlignment="1">
      <alignment horizontal="left" vertical="top"/>
    </xf>
    <xf numFmtId="0" fontId="10" fillId="0" borderId="13"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vertical="top"/>
    </xf>
    <xf numFmtId="0" fontId="10" fillId="0" borderId="30" xfId="0" applyFont="1" applyFill="1" applyBorder="1" applyAlignment="1">
      <alignment vertical="center"/>
    </xf>
    <xf numFmtId="0" fontId="0" fillId="0" borderId="0" xfId="0" applyFont="1" applyFill="1" applyBorder="1" applyAlignment="1">
      <alignment vertical="center"/>
    </xf>
    <xf numFmtId="0" fontId="0" fillId="0" borderId="52" xfId="0" applyFont="1" applyFill="1" applyBorder="1" applyAlignment="1">
      <alignment vertical="center"/>
    </xf>
    <xf numFmtId="0" fontId="10" fillId="0" borderId="52" xfId="0" applyFont="1" applyFill="1" applyBorder="1" applyAlignment="1" applyProtection="1">
      <alignment horizontal="center"/>
      <protection hidden="1" locked="0"/>
    </xf>
    <xf numFmtId="0" fontId="10" fillId="0" borderId="83" xfId="0" applyFont="1" applyFill="1" applyBorder="1" applyAlignment="1">
      <alignment horizontal="left" vertical="center"/>
    </xf>
    <xf numFmtId="0" fontId="10" fillId="0" borderId="83" xfId="0" applyFont="1" applyFill="1" applyBorder="1" applyAlignment="1">
      <alignment horizontal="left" vertical="top"/>
    </xf>
    <xf numFmtId="0" fontId="10" fillId="0" borderId="83" xfId="0" applyFont="1" applyFill="1" applyBorder="1" applyAlignment="1">
      <alignment vertical="top"/>
    </xf>
    <xf numFmtId="0" fontId="10" fillId="0" borderId="84" xfId="0" applyFont="1" applyFill="1" applyBorder="1" applyAlignment="1">
      <alignment horizontal="right" vertical="top"/>
    </xf>
    <xf numFmtId="0" fontId="10" fillId="0" borderId="0" xfId="0" applyFont="1" applyFill="1" applyBorder="1" applyAlignment="1">
      <alignment horizontal="right" vertical="center"/>
    </xf>
    <xf numFmtId="0" fontId="10" fillId="35" borderId="0" xfId="0" applyFont="1" applyFill="1" applyBorder="1" applyAlignment="1">
      <alignment vertical="center" wrapText="1"/>
    </xf>
    <xf numFmtId="0" fontId="0" fillId="35" borderId="85" xfId="0" applyFill="1" applyBorder="1" applyAlignment="1" applyProtection="1">
      <alignment vertical="top" wrapText="1"/>
      <protection/>
    </xf>
    <xf numFmtId="0" fontId="2" fillId="0" borderId="53" xfId="0" applyFont="1" applyFill="1" applyBorder="1" applyAlignment="1">
      <alignment/>
    </xf>
    <xf numFmtId="0" fontId="2" fillId="0" borderId="36" xfId="0" applyFont="1" applyFill="1" applyBorder="1" applyAlignment="1">
      <alignment/>
    </xf>
    <xf numFmtId="0" fontId="32" fillId="0" borderId="36" xfId="0" applyFont="1" applyFill="1" applyBorder="1" applyAlignment="1">
      <alignment horizontal="left" vertical="top" wrapText="1"/>
    </xf>
    <xf numFmtId="0" fontId="2" fillId="0" borderId="54" xfId="0" applyFont="1" applyFill="1" applyBorder="1" applyAlignment="1">
      <alignment horizontal="left"/>
    </xf>
    <xf numFmtId="0" fontId="2" fillId="35" borderId="0" xfId="0" applyFont="1" applyFill="1" applyBorder="1" applyAlignment="1">
      <alignment horizontal="left"/>
    </xf>
    <xf numFmtId="0" fontId="32" fillId="35" borderId="0" xfId="0" applyFont="1" applyFill="1" applyAlignment="1">
      <alignment horizontal="left" vertical="top"/>
    </xf>
    <xf numFmtId="0" fontId="32" fillId="0" borderId="53" xfId="0" applyFont="1" applyFill="1" applyBorder="1" applyAlignment="1">
      <alignment horizontal="left" vertical="top"/>
    </xf>
    <xf numFmtId="0" fontId="32" fillId="0" borderId="36" xfId="0" applyFont="1" applyFill="1" applyBorder="1" applyAlignment="1">
      <alignment horizontal="left" vertical="top"/>
    </xf>
    <xf numFmtId="0" fontId="2" fillId="0" borderId="36" xfId="0" applyFont="1" applyFill="1" applyBorder="1" applyAlignment="1">
      <alignment horizontal="left" vertical="top"/>
    </xf>
    <xf numFmtId="0" fontId="2" fillId="0" borderId="36" xfId="0" applyFont="1" applyFill="1" applyBorder="1" applyAlignment="1">
      <alignment horizontal="left"/>
    </xf>
    <xf numFmtId="0" fontId="2" fillId="35" borderId="0" xfId="0" applyFont="1" applyFill="1" applyAlignment="1">
      <alignment horizontal="left"/>
    </xf>
    <xf numFmtId="0" fontId="2" fillId="35" borderId="0" xfId="0" applyFont="1" applyFill="1" applyAlignment="1">
      <alignment/>
    </xf>
    <xf numFmtId="0" fontId="2" fillId="0" borderId="35" xfId="0" applyFont="1" applyFill="1" applyBorder="1" applyAlignment="1">
      <alignment/>
    </xf>
    <xf numFmtId="0" fontId="2" fillId="0" borderId="0" xfId="0" applyFont="1" applyFill="1" applyBorder="1" applyAlignment="1">
      <alignment/>
    </xf>
    <xf numFmtId="0" fontId="2" fillId="0" borderId="37" xfId="0" applyFont="1" applyFill="1" applyBorder="1" applyAlignment="1">
      <alignment/>
    </xf>
    <xf numFmtId="0" fontId="2" fillId="37" borderId="0" xfId="0" applyFont="1" applyFill="1" applyBorder="1" applyAlignment="1">
      <alignment/>
    </xf>
    <xf numFmtId="0" fontId="2" fillId="35" borderId="0" xfId="0" applyFont="1" applyFill="1" applyAlignment="1">
      <alignment vertical="top" wrapText="1"/>
    </xf>
    <xf numFmtId="0" fontId="2" fillId="0" borderId="35" xfId="0" applyFont="1" applyFill="1" applyBorder="1" applyAlignment="1">
      <alignment vertical="top" wrapText="1"/>
    </xf>
    <xf numFmtId="0" fontId="2" fillId="0" borderId="0" xfId="0" applyFont="1" applyFill="1" applyBorder="1" applyAlignment="1">
      <alignment vertical="top" wrapText="1"/>
    </xf>
    <xf numFmtId="0" fontId="33" fillId="0" borderId="0" xfId="0" applyFont="1" applyFill="1" applyBorder="1" applyAlignment="1">
      <alignment vertical="top" wrapText="1"/>
    </xf>
    <xf numFmtId="0" fontId="33" fillId="0" borderId="37" xfId="0" applyFont="1" applyFill="1" applyBorder="1" applyAlignment="1">
      <alignment vertical="top" wrapText="1"/>
    </xf>
    <xf numFmtId="0" fontId="2" fillId="37" borderId="0" xfId="0" applyFont="1" applyFill="1" applyAlignment="1">
      <alignment/>
    </xf>
    <xf numFmtId="0" fontId="2" fillId="35" borderId="0" xfId="0" applyFont="1" applyFill="1" applyAlignment="1">
      <alignment horizontal="justify" vertical="top" wrapText="1"/>
    </xf>
    <xf numFmtId="0" fontId="2" fillId="0" borderId="3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35" borderId="0" xfId="0" applyFont="1" applyFill="1" applyAlignment="1">
      <alignment horizontal="left" vertical="top" wrapText="1"/>
    </xf>
    <xf numFmtId="0" fontId="2" fillId="0" borderId="3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7" xfId="0" applyFont="1" applyFill="1" applyBorder="1" applyAlignment="1">
      <alignment vertical="top" wrapText="1"/>
    </xf>
    <xf numFmtId="0" fontId="2" fillId="0" borderId="37" xfId="0" applyFont="1" applyFill="1" applyBorder="1" applyAlignment="1">
      <alignment horizontal="left" vertical="top" wrapText="1"/>
    </xf>
    <xf numFmtId="0" fontId="2" fillId="35" borderId="0" xfId="0" applyFont="1" applyFill="1" applyBorder="1" applyAlignment="1">
      <alignment vertical="top" wrapText="1"/>
    </xf>
    <xf numFmtId="0" fontId="2" fillId="0" borderId="0" xfId="0" applyFont="1" applyFill="1" applyAlignment="1">
      <alignment/>
    </xf>
    <xf numFmtId="0" fontId="2" fillId="0" borderId="55" xfId="0" applyFont="1" applyFill="1" applyBorder="1" applyAlignment="1">
      <alignment/>
    </xf>
    <xf numFmtId="0" fontId="2" fillId="0" borderId="33" xfId="0" applyFont="1" applyFill="1" applyBorder="1" applyAlignment="1">
      <alignment/>
    </xf>
    <xf numFmtId="0" fontId="2" fillId="0" borderId="33" xfId="0" applyFont="1" applyFill="1" applyBorder="1" applyAlignment="1">
      <alignment vertical="top"/>
    </xf>
    <xf numFmtId="0" fontId="2" fillId="0" borderId="56" xfId="0" applyFont="1" applyFill="1" applyBorder="1" applyAlignment="1">
      <alignment/>
    </xf>
    <xf numFmtId="0" fontId="2" fillId="37" borderId="0" xfId="0" applyFont="1" applyFill="1" applyAlignment="1">
      <alignment vertical="top"/>
    </xf>
    <xf numFmtId="0" fontId="2" fillId="35" borderId="0" xfId="0" applyFont="1" applyFill="1" applyAlignment="1">
      <alignment vertical="top"/>
    </xf>
    <xf numFmtId="0" fontId="15" fillId="0" borderId="0" xfId="0" applyFont="1" applyFill="1" applyBorder="1" applyAlignment="1">
      <alignment vertical="top" wrapText="1"/>
    </xf>
    <xf numFmtId="0" fontId="0" fillId="35"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0" fillId="0" borderId="0" xfId="0" applyFill="1" applyBorder="1" applyAlignment="1">
      <alignment vertical="center"/>
    </xf>
    <xf numFmtId="0" fontId="10" fillId="35" borderId="0" xfId="0" applyFont="1" applyFill="1" applyBorder="1" applyAlignment="1" applyProtection="1">
      <alignment/>
      <protection locked="0"/>
    </xf>
    <xf numFmtId="0" fontId="5" fillId="0" borderId="21" xfId="0" applyFont="1" applyBorder="1" applyAlignment="1" quotePrefix="1">
      <alignment horizontal="center"/>
    </xf>
    <xf numFmtId="0" fontId="0" fillId="0" borderId="0" xfId="0" applyBorder="1" applyAlignment="1">
      <alignment/>
    </xf>
    <xf numFmtId="0" fontId="62" fillId="0" borderId="0" xfId="52" applyFont="1" applyProtection="1">
      <alignment/>
      <protection/>
    </xf>
    <xf numFmtId="0" fontId="26" fillId="0" borderId="17" xfId="52" applyFont="1" applyFill="1" applyBorder="1" applyAlignment="1" applyProtection="1">
      <alignment horizontal="right"/>
      <protection/>
    </xf>
    <xf numFmtId="0" fontId="67" fillId="0" borderId="18" xfId="52" applyFont="1" applyBorder="1" applyProtection="1">
      <alignment/>
      <protection/>
    </xf>
    <xf numFmtId="0" fontId="62" fillId="0" borderId="25" xfId="52" applyFont="1" applyBorder="1" applyProtection="1">
      <alignment/>
      <protection/>
    </xf>
    <xf numFmtId="0" fontId="67" fillId="0" borderId="25" xfId="52" applyFont="1" applyBorder="1" applyAlignment="1" applyProtection="1">
      <alignment horizontal="right"/>
      <protection/>
    </xf>
    <xf numFmtId="0" fontId="62" fillId="0" borderId="0" xfId="52" applyFont="1" applyBorder="1" applyProtection="1">
      <alignment/>
      <protection/>
    </xf>
    <xf numFmtId="0" fontId="34" fillId="0" borderId="30" xfId="0" applyFont="1" applyFill="1" applyBorder="1" applyAlignment="1">
      <alignment horizontal="center"/>
    </xf>
    <xf numFmtId="0" fontId="34" fillId="0" borderId="31" xfId="0" applyFont="1" applyFill="1" applyBorder="1" applyAlignment="1">
      <alignment horizontal="center"/>
    </xf>
    <xf numFmtId="0" fontId="34" fillId="0" borderId="32" xfId="0" applyFont="1" applyFill="1" applyBorder="1" applyAlignment="1">
      <alignment horizontal="center"/>
    </xf>
    <xf numFmtId="0" fontId="34" fillId="0" borderId="28" xfId="0" applyFont="1" applyFill="1" applyBorder="1" applyAlignment="1">
      <alignment horizontal="center"/>
    </xf>
    <xf numFmtId="0" fontId="34" fillId="0" borderId="59" xfId="0" applyFont="1" applyFill="1" applyBorder="1" applyAlignment="1">
      <alignment horizontal="center"/>
    </xf>
    <xf numFmtId="0" fontId="34" fillId="0" borderId="29" xfId="0" applyFont="1" applyFill="1" applyBorder="1" applyAlignment="1">
      <alignment horizontal="center"/>
    </xf>
    <xf numFmtId="0" fontId="34" fillId="0" borderId="86" xfId="0" applyFont="1" applyFill="1" applyBorder="1" applyAlignment="1">
      <alignment horizontal="center"/>
    </xf>
    <xf numFmtId="0" fontId="34" fillId="0" borderId="64" xfId="0" applyFont="1" applyFill="1" applyBorder="1" applyAlignment="1">
      <alignment horizontal="center"/>
    </xf>
    <xf numFmtId="0" fontId="34" fillId="0" borderId="65" xfId="0" applyFont="1" applyFill="1" applyBorder="1" applyAlignment="1">
      <alignment horizontal="center"/>
    </xf>
    <xf numFmtId="0" fontId="34" fillId="0" borderId="67" xfId="0" applyFont="1" applyFill="1" applyBorder="1" applyAlignment="1">
      <alignment horizontal="center"/>
    </xf>
    <xf numFmtId="0" fontId="34" fillId="0" borderId="38" xfId="0" applyFont="1" applyFill="1" applyBorder="1" applyAlignment="1">
      <alignment horizontal="center"/>
    </xf>
    <xf numFmtId="0" fontId="34" fillId="0" borderId="69" xfId="0" applyFont="1" applyFill="1" applyBorder="1" applyAlignment="1">
      <alignment horizontal="center"/>
    </xf>
    <xf numFmtId="0" fontId="34" fillId="0" borderId="55" xfId="0" applyFont="1" applyFill="1" applyBorder="1" applyAlignment="1">
      <alignment horizontal="center"/>
    </xf>
    <xf numFmtId="0" fontId="34" fillId="0" borderId="68" xfId="0" applyFont="1" applyFill="1" applyBorder="1" applyAlignment="1">
      <alignment horizontal="center"/>
    </xf>
    <xf numFmtId="0" fontId="34" fillId="0" borderId="73" xfId="0" applyFont="1" applyFill="1" applyBorder="1" applyAlignment="1">
      <alignment horizontal="center"/>
    </xf>
    <xf numFmtId="0" fontId="34" fillId="0" borderId="74" xfId="0" applyFont="1" applyFill="1" applyBorder="1" applyAlignment="1">
      <alignment horizontal="center"/>
    </xf>
    <xf numFmtId="0" fontId="34" fillId="0" borderId="56" xfId="0" applyFont="1" applyFill="1" applyBorder="1" applyAlignment="1">
      <alignment horizontal="center"/>
    </xf>
    <xf numFmtId="0" fontId="34" fillId="0" borderId="71" xfId="0" applyFont="1" applyFill="1" applyBorder="1" applyAlignment="1">
      <alignment horizontal="center"/>
    </xf>
    <xf numFmtId="0" fontId="34" fillId="0" borderId="63" xfId="0" applyFont="1" applyFill="1" applyBorder="1" applyAlignment="1">
      <alignment horizontal="center"/>
    </xf>
    <xf numFmtId="0" fontId="34" fillId="0" borderId="70" xfId="0" applyFont="1" applyFill="1" applyBorder="1" applyAlignment="1">
      <alignment horizontal="center"/>
    </xf>
    <xf numFmtId="0" fontId="34" fillId="0" borderId="87" xfId="0" applyFont="1" applyFill="1" applyBorder="1" applyAlignment="1">
      <alignment horizontal="center"/>
    </xf>
    <xf numFmtId="0" fontId="34" fillId="0" borderId="23" xfId="0" applyFont="1" applyFill="1" applyBorder="1" applyAlignment="1">
      <alignment horizontal="center"/>
    </xf>
    <xf numFmtId="0" fontId="34" fillId="0" borderId="88" xfId="0" applyFont="1" applyFill="1" applyBorder="1" applyAlignment="1">
      <alignment horizontal="center"/>
    </xf>
    <xf numFmtId="0" fontId="26" fillId="0" borderId="52" xfId="0" applyFont="1" applyFill="1" applyBorder="1" applyAlignment="1">
      <alignment horizontal="center"/>
    </xf>
    <xf numFmtId="0" fontId="34" fillId="0" borderId="89" xfId="0" applyFont="1" applyFill="1" applyBorder="1" applyAlignment="1">
      <alignment horizontal="center"/>
    </xf>
    <xf numFmtId="0" fontId="0" fillId="0" borderId="13" xfId="0" applyBorder="1" applyAlignment="1">
      <alignment/>
    </xf>
    <xf numFmtId="0" fontId="0" fillId="0" borderId="25"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1" xfId="0" applyBorder="1" applyAlignment="1">
      <alignment/>
    </xf>
    <xf numFmtId="0" fontId="0" fillId="0" borderId="18" xfId="0" applyFill="1" applyBorder="1" applyAlignment="1">
      <alignment/>
    </xf>
    <xf numFmtId="0" fontId="0" fillId="0" borderId="30" xfId="0" applyBorder="1" applyAlignment="1">
      <alignment/>
    </xf>
    <xf numFmtId="0" fontId="0" fillId="0" borderId="31" xfId="0" applyBorder="1" applyAlignment="1">
      <alignment/>
    </xf>
    <xf numFmtId="0" fontId="0" fillId="0" borderId="24" xfId="0" applyBorder="1" applyAlignment="1">
      <alignment/>
    </xf>
    <xf numFmtId="2" fontId="0" fillId="0" borderId="25" xfId="0" applyNumberFormat="1" applyBorder="1" applyAlignment="1">
      <alignment/>
    </xf>
    <xf numFmtId="2" fontId="0" fillId="0" borderId="0" xfId="0" applyNumberFormat="1" applyBorder="1" applyAlignment="1">
      <alignment/>
    </xf>
    <xf numFmtId="2" fontId="0" fillId="0" borderId="31" xfId="0" applyNumberFormat="1" applyBorder="1" applyAlignment="1">
      <alignment/>
    </xf>
    <xf numFmtId="0" fontId="37" fillId="0" borderId="37" xfId="0" applyFont="1" applyFill="1" applyBorder="1" applyAlignment="1">
      <alignment horizontal="center"/>
    </xf>
    <xf numFmtId="0" fontId="3" fillId="0" borderId="0" xfId="0" applyFont="1" applyBorder="1" applyAlignment="1">
      <alignment/>
    </xf>
    <xf numFmtId="0" fontId="35" fillId="0" borderId="0" xfId="0" applyFont="1" applyFill="1" applyBorder="1" applyAlignment="1">
      <alignment/>
    </xf>
    <xf numFmtId="0" fontId="35" fillId="0" borderId="0" xfId="0" applyFont="1" applyFill="1" applyBorder="1" applyAlignment="1">
      <alignment horizontal="right"/>
    </xf>
    <xf numFmtId="0" fontId="36" fillId="0" borderId="0" xfId="0" applyFont="1" applyFill="1" applyBorder="1" applyAlignment="1">
      <alignment horizontal="center" vertical="center"/>
    </xf>
    <xf numFmtId="0" fontId="41" fillId="0" borderId="35" xfId="0" applyFont="1" applyFill="1" applyBorder="1" applyAlignment="1">
      <alignment/>
    </xf>
    <xf numFmtId="0" fontId="41" fillId="0" borderId="0" xfId="0" applyFont="1" applyFill="1" applyBorder="1" applyAlignment="1">
      <alignment/>
    </xf>
    <xf numFmtId="0" fontId="41" fillId="37" borderId="0" xfId="0" applyFont="1" applyFill="1" applyAlignment="1">
      <alignment/>
    </xf>
    <xf numFmtId="0" fontId="41" fillId="35" borderId="0" xfId="0" applyFont="1" applyFill="1" applyAlignment="1">
      <alignment/>
    </xf>
    <xf numFmtId="0" fontId="41" fillId="0" borderId="37" xfId="0" applyFont="1" applyFill="1" applyBorder="1" applyAlignment="1">
      <alignment/>
    </xf>
    <xf numFmtId="0" fontId="16" fillId="35" borderId="0" xfId="0" applyFont="1" applyFill="1" applyAlignment="1">
      <alignment/>
    </xf>
    <xf numFmtId="0" fontId="16" fillId="0" borderId="0" xfId="0" applyFont="1" applyFill="1" applyBorder="1" applyAlignment="1">
      <alignment/>
    </xf>
    <xf numFmtId="0" fontId="16" fillId="0" borderId="0" xfId="0" applyFont="1" applyFill="1" applyBorder="1" applyAlignment="1">
      <alignment horizontal="right"/>
    </xf>
    <xf numFmtId="0" fontId="0" fillId="0" borderId="35" xfId="0" applyFill="1" applyBorder="1" applyAlignment="1">
      <alignment vertical="center"/>
    </xf>
    <xf numFmtId="0" fontId="2" fillId="0" borderId="0" xfId="0" applyFont="1" applyFill="1" applyBorder="1" applyAlignment="1">
      <alignment horizontal="right" vertical="center"/>
    </xf>
    <xf numFmtId="0" fontId="35" fillId="0" borderId="0" xfId="0" applyFont="1" applyFill="1" applyBorder="1" applyAlignment="1">
      <alignment vertical="center"/>
    </xf>
    <xf numFmtId="0" fontId="0" fillId="0" borderId="37" xfId="0" applyFill="1" applyBorder="1" applyAlignment="1">
      <alignment vertical="center"/>
    </xf>
    <xf numFmtId="0" fontId="0" fillId="37" borderId="0" xfId="0" applyFill="1" applyAlignment="1">
      <alignment vertical="center"/>
    </xf>
    <xf numFmtId="0" fontId="0" fillId="35" borderId="0" xfId="0" applyFill="1" applyAlignment="1">
      <alignment vertical="center"/>
    </xf>
    <xf numFmtId="0" fontId="2" fillId="0" borderId="0" xfId="0" applyFont="1" applyBorder="1" applyAlignment="1">
      <alignment vertical="center"/>
    </xf>
    <xf numFmtId="0" fontId="2" fillId="0" borderId="35" xfId="0" applyFont="1" applyFill="1" applyBorder="1" applyAlignment="1">
      <alignment vertical="center"/>
    </xf>
    <xf numFmtId="0" fontId="2" fillId="0" borderId="0" xfId="0" applyFont="1" applyFill="1" applyBorder="1" applyAlignment="1">
      <alignment vertical="center"/>
    </xf>
    <xf numFmtId="0" fontId="2" fillId="0" borderId="37" xfId="0" applyFont="1" applyFill="1" applyBorder="1" applyAlignment="1">
      <alignment vertical="center"/>
    </xf>
    <xf numFmtId="0" fontId="2" fillId="37" borderId="0" xfId="0" applyFont="1" applyFill="1" applyAlignment="1">
      <alignment vertical="center"/>
    </xf>
    <xf numFmtId="0" fontId="2" fillId="35" borderId="0" xfId="0" applyFont="1" applyFill="1" applyAlignment="1">
      <alignment vertical="center"/>
    </xf>
    <xf numFmtId="0" fontId="16" fillId="0" borderId="35" xfId="0" applyFont="1" applyFill="1" applyBorder="1" applyAlignment="1">
      <alignment/>
    </xf>
    <xf numFmtId="0" fontId="16" fillId="0" borderId="37" xfId="0" applyFont="1" applyFill="1" applyBorder="1" applyAlignment="1">
      <alignment/>
    </xf>
    <xf numFmtId="0" fontId="16" fillId="37" borderId="0" xfId="0" applyFont="1" applyFill="1" applyAlignment="1">
      <alignment/>
    </xf>
    <xf numFmtId="0" fontId="16" fillId="0" borderId="0" xfId="0" applyFont="1" applyBorder="1" applyAlignment="1">
      <alignment/>
    </xf>
    <xf numFmtId="0" fontId="0" fillId="0" borderId="55" xfId="0" applyFill="1" applyBorder="1" applyAlignment="1">
      <alignment vertical="center"/>
    </xf>
    <xf numFmtId="0" fontId="0" fillId="0" borderId="33" xfId="0" applyFill="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2" fillId="0" borderId="33" xfId="0" applyFont="1" applyBorder="1" applyAlignment="1">
      <alignment vertical="center"/>
    </xf>
    <xf numFmtId="0" fontId="2" fillId="0" borderId="33" xfId="0" applyFont="1" applyFill="1" applyBorder="1" applyAlignment="1">
      <alignment horizontal="right" vertical="center"/>
    </xf>
    <xf numFmtId="0" fontId="35" fillId="0" borderId="33" xfId="0" applyFont="1" applyFill="1" applyBorder="1" applyAlignment="1">
      <alignment vertical="center"/>
    </xf>
    <xf numFmtId="0" fontId="0" fillId="0" borderId="56" xfId="0" applyFill="1" applyBorder="1" applyAlignment="1">
      <alignment vertic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applyFill="1" applyBorder="1" applyAlignment="1">
      <alignment horizontal="left" vertical="top"/>
    </xf>
    <xf numFmtId="0" fontId="3" fillId="35" borderId="0" xfId="0" applyFont="1" applyFill="1" applyAlignment="1">
      <alignment/>
    </xf>
    <xf numFmtId="0" fontId="3" fillId="0" borderId="35" xfId="0" applyFont="1" applyFill="1" applyBorder="1" applyAlignment="1">
      <alignment/>
    </xf>
    <xf numFmtId="0" fontId="3" fillId="0" borderId="0" xfId="0" applyFont="1" applyFill="1" applyBorder="1" applyAlignment="1">
      <alignment/>
    </xf>
    <xf numFmtId="0" fontId="88" fillId="0" borderId="0" xfId="0" applyFont="1" applyFill="1" applyBorder="1" applyAlignment="1">
      <alignment/>
    </xf>
    <xf numFmtId="0" fontId="3" fillId="0" borderId="37" xfId="0" applyFont="1" applyFill="1" applyBorder="1" applyAlignment="1">
      <alignment/>
    </xf>
    <xf numFmtId="0" fontId="3" fillId="37" borderId="0" xfId="0" applyFont="1" applyFill="1" applyAlignment="1">
      <alignment/>
    </xf>
    <xf numFmtId="0" fontId="3" fillId="35" borderId="0" xfId="0" applyFont="1" applyFill="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37" xfId="0" applyFont="1" applyFill="1" applyBorder="1" applyAlignment="1">
      <alignment vertical="center"/>
    </xf>
    <xf numFmtId="0" fontId="3" fillId="37" borderId="0" xfId="0" applyFont="1" applyFill="1" applyAlignment="1">
      <alignment vertical="center"/>
    </xf>
    <xf numFmtId="0" fontId="89" fillId="40" borderId="38" xfId="0" applyFont="1" applyFill="1" applyBorder="1" applyAlignment="1" applyProtection="1">
      <alignment horizontal="center"/>
      <protection/>
    </xf>
    <xf numFmtId="0" fontId="10" fillId="35" borderId="90" xfId="0" applyFont="1" applyFill="1" applyBorder="1" applyAlignment="1">
      <alignment horizontal="right"/>
    </xf>
    <xf numFmtId="0" fontId="89" fillId="40" borderId="64" xfId="0" applyFont="1" applyFill="1" applyBorder="1" applyAlignment="1" applyProtection="1">
      <alignment horizontal="center"/>
      <protection/>
    </xf>
    <xf numFmtId="1" fontId="0" fillId="40" borderId="64" xfId="0" applyNumberFormat="1" applyFill="1" applyBorder="1" applyAlignment="1" applyProtection="1">
      <alignment horizontal="right"/>
      <protection/>
    </xf>
    <xf numFmtId="0" fontId="10" fillId="35" borderId="90" xfId="0" applyFont="1" applyFill="1" applyBorder="1" applyAlignment="1" applyProtection="1">
      <alignment horizontal="center" vertical="center"/>
      <protection/>
    </xf>
    <xf numFmtId="1" fontId="0" fillId="39" borderId="38" xfId="0" applyNumberFormat="1" applyFill="1" applyBorder="1" applyAlignment="1">
      <alignment horizontal="right"/>
    </xf>
    <xf numFmtId="0" fontId="62" fillId="0" borderId="26" xfId="52" applyFont="1" applyBorder="1" applyProtection="1">
      <alignment/>
      <protection/>
    </xf>
    <xf numFmtId="0" fontId="62" fillId="0" borderId="58" xfId="52" applyFont="1" applyBorder="1" applyProtection="1">
      <alignment/>
      <protection/>
    </xf>
    <xf numFmtId="1" fontId="0" fillId="39" borderId="38" xfId="0" applyNumberFormat="1" applyFill="1" applyBorder="1" applyAlignment="1" applyProtection="1">
      <alignment horizontal="center"/>
      <protection/>
    </xf>
    <xf numFmtId="0" fontId="62" fillId="0" borderId="0" xfId="52" applyFont="1" applyProtection="1">
      <alignment/>
      <protection/>
    </xf>
    <xf numFmtId="0" fontId="62" fillId="0" borderId="0" xfId="52" applyFont="1" applyBorder="1" applyProtection="1">
      <alignment/>
      <protection/>
    </xf>
    <xf numFmtId="0" fontId="16" fillId="0" borderId="0" xfId="0" applyFont="1" applyFill="1" applyBorder="1" applyAlignment="1">
      <alignment vertical="top"/>
    </xf>
    <xf numFmtId="0" fontId="67" fillId="0" borderId="38" xfId="52" applyFont="1" applyBorder="1" applyProtection="1">
      <alignment/>
      <protection/>
    </xf>
    <xf numFmtId="0" fontId="62" fillId="0" borderId="0" xfId="52" applyNumberFormat="1" applyFont="1" applyBorder="1" applyProtection="1">
      <alignment/>
      <protection/>
    </xf>
    <xf numFmtId="0" fontId="67" fillId="0" borderId="91" xfId="52" applyFont="1" applyBorder="1" applyAlignment="1" applyProtection="1">
      <alignment horizontal="right"/>
      <protection/>
    </xf>
    <xf numFmtId="0" fontId="62" fillId="0" borderId="0" xfId="52" applyFont="1" applyBorder="1" applyAlignment="1" applyProtection="1">
      <alignment horizontal="left" vertical="top" wrapText="1"/>
      <protection/>
    </xf>
    <xf numFmtId="0" fontId="67" fillId="0" borderId="25" xfId="52" applyFont="1" applyBorder="1" applyAlignment="1" applyProtection="1">
      <alignment horizontal="center" vertical="top"/>
      <protection/>
    </xf>
    <xf numFmtId="0" fontId="67" fillId="0" borderId="17" xfId="52" applyFont="1" applyBorder="1" applyAlignment="1" applyProtection="1">
      <alignment horizontal="center" vertical="top"/>
      <protection/>
    </xf>
    <xf numFmtId="0" fontId="62" fillId="0" borderId="0" xfId="52" applyFont="1" applyBorder="1" applyProtection="1">
      <alignment/>
      <protection/>
    </xf>
    <xf numFmtId="0" fontId="67" fillId="0" borderId="26" xfId="52" applyFont="1" applyBorder="1" applyProtection="1">
      <alignment/>
      <protection/>
    </xf>
    <xf numFmtId="0" fontId="67" fillId="0" borderId="58" xfId="52" applyFont="1" applyBorder="1" applyProtection="1">
      <alignment/>
      <protection/>
    </xf>
    <xf numFmtId="0" fontId="67" fillId="0" borderId="27" xfId="52" applyFont="1" applyBorder="1" applyProtection="1">
      <alignment/>
      <protection/>
    </xf>
    <xf numFmtId="0" fontId="67" fillId="0" borderId="67" xfId="52" applyFont="1" applyBorder="1" applyProtection="1">
      <alignment/>
      <protection/>
    </xf>
    <xf numFmtId="0" fontId="67" fillId="0" borderId="28" xfId="52" applyFont="1" applyBorder="1" applyProtection="1">
      <alignment/>
      <protection/>
    </xf>
    <xf numFmtId="0" fontId="67" fillId="0" borderId="59" xfId="52" applyFont="1" applyBorder="1" applyProtection="1">
      <alignment/>
      <protection/>
    </xf>
    <xf numFmtId="0" fontId="67" fillId="0" borderId="81" xfId="52" applyFont="1" applyBorder="1" applyProtection="1">
      <alignment/>
      <protection/>
    </xf>
    <xf numFmtId="0" fontId="67" fillId="0" borderId="71" xfId="52" applyFont="1" applyBorder="1" applyProtection="1">
      <alignment/>
      <protection/>
    </xf>
    <xf numFmtId="0" fontId="67" fillId="0" borderId="74" xfId="52" applyFont="1" applyBorder="1" applyProtection="1">
      <alignment/>
      <protection/>
    </xf>
    <xf numFmtId="0" fontId="67" fillId="0" borderId="62" xfId="52" applyFont="1" applyBorder="1" applyProtection="1">
      <alignment/>
      <protection/>
    </xf>
    <xf numFmtId="0" fontId="67" fillId="0" borderId="68" xfId="52" applyFont="1" applyBorder="1" applyProtection="1">
      <alignment/>
      <protection/>
    </xf>
    <xf numFmtId="0" fontId="67" fillId="0" borderId="73" xfId="52" applyFont="1" applyBorder="1" applyProtection="1">
      <alignment/>
      <protection/>
    </xf>
    <xf numFmtId="0" fontId="62" fillId="0" borderId="26" xfId="52" applyFont="1" applyBorder="1" applyProtection="1">
      <alignment/>
      <protection/>
    </xf>
    <xf numFmtId="0" fontId="62" fillId="0" borderId="27" xfId="52" applyFont="1" applyBorder="1" applyProtection="1">
      <alignment/>
      <protection/>
    </xf>
    <xf numFmtId="0" fontId="62" fillId="0" borderId="67" xfId="52" applyFont="1" applyBorder="1" applyProtection="1">
      <alignment/>
      <protection/>
    </xf>
    <xf numFmtId="0" fontId="62" fillId="0" borderId="69" xfId="52" applyFont="1" applyBorder="1" applyProtection="1">
      <alignment/>
      <protection/>
    </xf>
    <xf numFmtId="0" fontId="62" fillId="0" borderId="28" xfId="52" applyFont="1" applyBorder="1" applyProtection="1">
      <alignment/>
      <protection/>
    </xf>
    <xf numFmtId="0" fontId="62" fillId="0" borderId="29" xfId="52" applyFont="1" applyBorder="1" applyProtection="1">
      <alignment/>
      <protection/>
    </xf>
    <xf numFmtId="0" fontId="0" fillId="0" borderId="38" xfId="0" applyFill="1" applyBorder="1" applyAlignment="1" applyProtection="1">
      <alignment horizontal="right"/>
      <protection locked="0"/>
    </xf>
    <xf numFmtId="0" fontId="62" fillId="0" borderId="0" xfId="52" applyFont="1" applyProtection="1">
      <alignment/>
      <protection/>
    </xf>
    <xf numFmtId="0" fontId="0" fillId="35" borderId="0" xfId="0" applyFont="1" applyFill="1" applyAlignment="1">
      <alignment/>
    </xf>
    <xf numFmtId="0" fontId="0" fillId="0" borderId="35"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37" xfId="0" applyFont="1" applyFill="1" applyBorder="1" applyAlignment="1">
      <alignment/>
    </xf>
    <xf numFmtId="0" fontId="0" fillId="37" borderId="0" xfId="0" applyFont="1" applyFill="1" applyAlignment="1">
      <alignment/>
    </xf>
    <xf numFmtId="0" fontId="0" fillId="0" borderId="0" xfId="0" applyFont="1" applyFill="1" applyBorder="1" applyAlignment="1">
      <alignment horizontal="right"/>
    </xf>
    <xf numFmtId="0" fontId="39" fillId="35" borderId="0" xfId="0" applyFont="1" applyFill="1" applyAlignment="1">
      <alignment/>
    </xf>
    <xf numFmtId="0" fontId="39" fillId="0" borderId="35" xfId="0" applyFont="1" applyFill="1" applyBorder="1" applyAlignment="1">
      <alignment/>
    </xf>
    <xf numFmtId="0" fontId="39" fillId="0" borderId="0" xfId="0" applyFont="1" applyFill="1" applyBorder="1" applyAlignment="1">
      <alignment/>
    </xf>
    <xf numFmtId="0" fontId="20" fillId="0" borderId="0" xfId="0" applyFont="1" applyFill="1" applyBorder="1" applyAlignment="1">
      <alignment horizontal="right"/>
    </xf>
    <xf numFmtId="0" fontId="20" fillId="0" borderId="37" xfId="0" applyFont="1" applyFill="1" applyBorder="1" applyAlignment="1">
      <alignment horizontal="right"/>
    </xf>
    <xf numFmtId="0" fontId="39" fillId="37" borderId="0" xfId="0" applyFont="1" applyFill="1" applyAlignment="1">
      <alignment/>
    </xf>
    <xf numFmtId="0" fontId="39" fillId="0" borderId="37" xfId="0" applyFont="1" applyFill="1" applyBorder="1" applyAlignment="1">
      <alignment/>
    </xf>
    <xf numFmtId="0" fontId="10" fillId="0" borderId="25" xfId="0" applyFont="1" applyFill="1" applyBorder="1" applyAlignment="1">
      <alignment shrinkToFit="1"/>
    </xf>
    <xf numFmtId="167" fontId="62" fillId="0" borderId="67" xfId="52" applyNumberFormat="1" applyFont="1" applyBorder="1" applyAlignment="1" applyProtection="1">
      <alignment shrinkToFit="1"/>
      <protection/>
    </xf>
    <xf numFmtId="167" fontId="62" fillId="0" borderId="28" xfId="52" applyNumberFormat="1" applyFont="1" applyBorder="1" applyAlignment="1" applyProtection="1">
      <alignment shrinkToFit="1"/>
      <protection/>
    </xf>
    <xf numFmtId="0" fontId="0" fillId="35" borderId="33" xfId="0" applyFill="1" applyBorder="1" applyAlignment="1">
      <alignment horizontal="left" vertical="top" wrapText="1"/>
    </xf>
    <xf numFmtId="0" fontId="70" fillId="35" borderId="33" xfId="47" applyFill="1" applyBorder="1" applyAlignment="1" applyProtection="1">
      <alignment/>
      <protection/>
    </xf>
    <xf numFmtId="0" fontId="67" fillId="0" borderId="0" xfId="52" applyFont="1" applyAlignment="1" applyProtection="1">
      <alignment horizontal="center"/>
      <protection/>
    </xf>
    <xf numFmtId="0" fontId="67" fillId="0" borderId="70" xfId="52" applyFont="1" applyBorder="1" applyAlignment="1" applyProtection="1">
      <alignment horizontal="center"/>
      <protection/>
    </xf>
    <xf numFmtId="0" fontId="62" fillId="0" borderId="69" xfId="52" applyBorder="1" applyAlignment="1" applyProtection="1">
      <alignment horizontal="right"/>
      <protection/>
    </xf>
    <xf numFmtId="0" fontId="62" fillId="0" borderId="29" xfId="52" applyBorder="1" applyAlignment="1" applyProtection="1">
      <alignment horizontal="right"/>
      <protection/>
    </xf>
    <xf numFmtId="0" fontId="62" fillId="0" borderId="29" xfId="52" applyBorder="1" applyProtection="1">
      <alignment/>
      <protection/>
    </xf>
    <xf numFmtId="0" fontId="67" fillId="0" borderId="63" xfId="52" applyFont="1" applyBorder="1" applyAlignment="1" applyProtection="1">
      <alignment horizontal="center"/>
      <protection/>
    </xf>
    <xf numFmtId="0" fontId="67" fillId="0" borderId="32" xfId="52" applyFont="1" applyBorder="1" applyAlignment="1" applyProtection="1">
      <alignment horizontal="center"/>
      <protection/>
    </xf>
    <xf numFmtId="0" fontId="62" fillId="0" borderId="64" xfId="52" applyBorder="1" applyAlignment="1" applyProtection="1">
      <alignment horizontal="right"/>
      <protection/>
    </xf>
    <xf numFmtId="0" fontId="62" fillId="0" borderId="65" xfId="52" applyBorder="1" applyAlignment="1" applyProtection="1">
      <alignment horizontal="right"/>
      <protection/>
    </xf>
    <xf numFmtId="0" fontId="62" fillId="0" borderId="65" xfId="52" applyBorder="1" applyProtection="1">
      <alignment/>
      <protection/>
    </xf>
    <xf numFmtId="0" fontId="67" fillId="0" borderId="52" xfId="52" applyFont="1" applyBorder="1" applyAlignment="1" applyProtection="1">
      <alignment horizontal="center"/>
      <protection/>
    </xf>
    <xf numFmtId="0" fontId="67" fillId="0" borderId="5" xfId="52" applyFont="1" applyBorder="1" applyAlignment="1" applyProtection="1">
      <alignment horizontal="center"/>
      <protection/>
    </xf>
    <xf numFmtId="0" fontId="67" fillId="0" borderId="14" xfId="52" applyFont="1" applyBorder="1" applyAlignment="1" applyProtection="1">
      <alignment horizontal="center"/>
      <protection/>
    </xf>
    <xf numFmtId="0" fontId="67" fillId="0" borderId="92" xfId="52" applyFont="1" applyBorder="1" applyAlignment="1" applyProtection="1">
      <alignment horizontal="right"/>
      <protection/>
    </xf>
    <xf numFmtId="0" fontId="67" fillId="0" borderId="16" xfId="52" applyFont="1" applyBorder="1" applyAlignment="1" applyProtection="1">
      <alignment horizontal="right"/>
      <protection/>
    </xf>
    <xf numFmtId="2" fontId="62" fillId="0" borderId="27" xfId="52" applyNumberFormat="1" applyBorder="1" applyProtection="1">
      <alignment/>
      <protection/>
    </xf>
    <xf numFmtId="0" fontId="62" fillId="0" borderId="67" xfId="52" applyFont="1" applyBorder="1" applyProtection="1">
      <alignment/>
      <protection/>
    </xf>
    <xf numFmtId="2" fontId="62" fillId="0" borderId="69" xfId="52" applyNumberFormat="1" applyBorder="1" applyProtection="1">
      <alignment/>
      <protection/>
    </xf>
    <xf numFmtId="0" fontId="62" fillId="0" borderId="28" xfId="52" applyFont="1" applyBorder="1" applyProtection="1">
      <alignment/>
      <protection/>
    </xf>
    <xf numFmtId="2" fontId="62" fillId="0" borderId="29" xfId="52" applyNumberFormat="1" applyBorder="1" applyProtection="1">
      <alignment/>
      <protection/>
    </xf>
    <xf numFmtId="2" fontId="62" fillId="0" borderId="26" xfId="52" applyNumberFormat="1" applyFont="1" applyBorder="1" applyProtection="1">
      <alignment/>
      <protection/>
    </xf>
    <xf numFmtId="0" fontId="62" fillId="0" borderId="58" xfId="52" applyNumberFormat="1" applyFont="1" applyBorder="1" applyProtection="1">
      <alignment/>
      <protection/>
    </xf>
    <xf numFmtId="166" fontId="62" fillId="0" borderId="27" xfId="52" applyNumberFormat="1" applyFont="1" applyBorder="1" applyProtection="1">
      <alignment/>
      <protection/>
    </xf>
    <xf numFmtId="166" fontId="62" fillId="0" borderId="69" xfId="52" applyNumberFormat="1" applyFont="1" applyBorder="1" applyProtection="1">
      <alignment/>
      <protection/>
    </xf>
    <xf numFmtId="166" fontId="62" fillId="0" borderId="29" xfId="52" applyNumberFormat="1" applyFont="1" applyBorder="1" applyProtection="1">
      <alignment/>
      <protection/>
    </xf>
    <xf numFmtId="0" fontId="67" fillId="0" borderId="92" xfId="52" applyFont="1" applyBorder="1" applyProtection="1">
      <alignment/>
      <protection/>
    </xf>
    <xf numFmtId="166" fontId="62" fillId="0" borderId="26" xfId="52" applyNumberFormat="1" applyFont="1" applyBorder="1" applyProtection="1">
      <alignment/>
      <protection/>
    </xf>
    <xf numFmtId="170" fontId="62" fillId="0" borderId="27" xfId="52" applyNumberFormat="1" applyBorder="1" applyProtection="1">
      <alignment/>
      <protection/>
    </xf>
    <xf numFmtId="170" fontId="62" fillId="0" borderId="69" xfId="52" applyNumberFormat="1" applyBorder="1" applyProtection="1">
      <alignment/>
      <protection/>
    </xf>
    <xf numFmtId="170" fontId="62" fillId="0" borderId="29" xfId="52" applyNumberFormat="1" applyBorder="1" applyProtection="1">
      <alignment/>
      <protection/>
    </xf>
    <xf numFmtId="170" fontId="62" fillId="0" borderId="26" xfId="52" applyNumberFormat="1" applyFont="1" applyBorder="1" applyProtection="1">
      <alignment/>
      <protection/>
    </xf>
    <xf numFmtId="167" fontId="62" fillId="0" borderId="27" xfId="52" applyNumberFormat="1" applyBorder="1" applyProtection="1">
      <alignment/>
      <protection/>
    </xf>
    <xf numFmtId="167" fontId="62" fillId="0" borderId="69" xfId="52" applyNumberFormat="1" applyBorder="1" applyProtection="1">
      <alignment/>
      <protection/>
    </xf>
    <xf numFmtId="167" fontId="62" fillId="0" borderId="29" xfId="52" applyNumberFormat="1" applyBorder="1" applyProtection="1">
      <alignment/>
      <protection/>
    </xf>
    <xf numFmtId="167" fontId="62" fillId="0" borderId="26" xfId="52" applyNumberFormat="1" applyFont="1" applyBorder="1" applyAlignment="1" applyProtection="1">
      <alignment shrinkToFit="1"/>
      <protection/>
    </xf>
    <xf numFmtId="168" fontId="62" fillId="0" borderId="27" xfId="52" applyNumberFormat="1" applyBorder="1" applyAlignment="1" applyProtection="1">
      <alignment shrinkToFit="1"/>
      <protection/>
    </xf>
    <xf numFmtId="168" fontId="62" fillId="0" borderId="69" xfId="52" applyNumberFormat="1" applyBorder="1" applyAlignment="1" applyProtection="1">
      <alignment shrinkToFit="1"/>
      <protection/>
    </xf>
    <xf numFmtId="168" fontId="62" fillId="0" borderId="29" xfId="52" applyNumberFormat="1" applyBorder="1" applyAlignment="1" applyProtection="1">
      <alignment shrinkToFit="1"/>
      <protection/>
    </xf>
    <xf numFmtId="0" fontId="26" fillId="0" borderId="75" xfId="52" applyNumberFormat="1" applyFont="1" applyFill="1" applyBorder="1" applyProtection="1">
      <alignment/>
      <protection/>
    </xf>
    <xf numFmtId="0" fontId="26" fillId="0" borderId="70" xfId="52" applyNumberFormat="1" applyFont="1" applyFill="1" applyBorder="1" applyProtection="1">
      <alignment/>
      <protection/>
    </xf>
    <xf numFmtId="0" fontId="26" fillId="0" borderId="32" xfId="52" applyNumberFormat="1" applyFont="1" applyFill="1" applyBorder="1" applyProtection="1">
      <alignment/>
      <protection/>
    </xf>
    <xf numFmtId="0" fontId="78" fillId="0" borderId="0" xfId="52" applyFont="1" applyProtection="1">
      <alignment/>
      <protection/>
    </xf>
    <xf numFmtId="0" fontId="87" fillId="0" borderId="0" xfId="52" applyFont="1" applyProtection="1">
      <alignment/>
      <protection/>
    </xf>
    <xf numFmtId="0" fontId="78" fillId="0" borderId="13" xfId="52" applyFont="1" applyBorder="1" applyProtection="1">
      <alignment/>
      <protection/>
    </xf>
    <xf numFmtId="0" fontId="87" fillId="0" borderId="25" xfId="52" applyFont="1" applyFill="1" applyBorder="1" applyProtection="1">
      <alignment/>
      <protection/>
    </xf>
    <xf numFmtId="0" fontId="78" fillId="0" borderId="25" xfId="52" applyFont="1" applyBorder="1" applyProtection="1">
      <alignment/>
      <protection/>
    </xf>
    <xf numFmtId="0" fontId="87" fillId="0" borderId="25" xfId="52" applyFont="1" applyBorder="1" applyProtection="1">
      <alignment/>
      <protection/>
    </xf>
    <xf numFmtId="0" fontId="87" fillId="0" borderId="17" xfId="52" applyFont="1" applyBorder="1" applyProtection="1">
      <alignment/>
      <protection/>
    </xf>
    <xf numFmtId="0" fontId="78" fillId="0" borderId="18" xfId="52" applyFont="1" applyBorder="1" applyProtection="1">
      <alignment/>
      <protection/>
    </xf>
    <xf numFmtId="0" fontId="87" fillId="0" borderId="52" xfId="52" applyFont="1" applyBorder="1" applyAlignment="1" applyProtection="1">
      <alignment horizontal="right"/>
      <protection/>
    </xf>
    <xf numFmtId="0" fontId="78" fillId="0" borderId="0" xfId="52" applyFont="1" applyBorder="1" applyProtection="1">
      <alignment/>
      <protection/>
    </xf>
    <xf numFmtId="0" fontId="87" fillId="0" borderId="52" xfId="52" applyFont="1" applyBorder="1" applyProtection="1">
      <alignment/>
      <protection/>
    </xf>
    <xf numFmtId="0" fontId="87" fillId="0" borderId="92" xfId="52" applyFont="1" applyBorder="1" applyAlignment="1" applyProtection="1">
      <alignment horizontal="right"/>
      <protection/>
    </xf>
    <xf numFmtId="0" fontId="87" fillId="0" borderId="16" xfId="52" applyFont="1" applyBorder="1" applyAlignment="1" applyProtection="1">
      <alignment horizontal="right"/>
      <protection/>
    </xf>
    <xf numFmtId="0" fontId="87" fillId="0" borderId="91" xfId="52" applyFont="1" applyBorder="1" applyAlignment="1" applyProtection="1">
      <alignment horizontal="right"/>
      <protection/>
    </xf>
    <xf numFmtId="0" fontId="87" fillId="0" borderId="21" xfId="52" applyFont="1" applyBorder="1" applyAlignment="1" applyProtection="1">
      <alignment horizontal="right"/>
      <protection/>
    </xf>
    <xf numFmtId="0" fontId="78" fillId="0" borderId="75" xfId="52" applyFont="1" applyBorder="1" applyProtection="1">
      <alignment/>
      <protection/>
    </xf>
    <xf numFmtId="0" fontId="87" fillId="0" borderId="61" xfId="52" applyFont="1" applyBorder="1" applyProtection="1">
      <alignment/>
      <protection/>
    </xf>
    <xf numFmtId="0" fontId="78" fillId="0" borderId="26" xfId="52" applyFont="1" applyBorder="1" applyProtection="1">
      <alignment/>
      <protection/>
    </xf>
    <xf numFmtId="0" fontId="78" fillId="0" borderId="58" xfId="52" applyFont="1" applyBorder="1" applyProtection="1">
      <alignment/>
      <protection/>
    </xf>
    <xf numFmtId="2" fontId="78" fillId="0" borderId="27" xfId="52" applyNumberFormat="1" applyFont="1" applyBorder="1" applyProtection="1">
      <alignment/>
      <protection/>
    </xf>
    <xf numFmtId="0" fontId="78" fillId="0" borderId="82" xfId="52" applyFont="1" applyBorder="1" applyProtection="1">
      <alignment/>
      <protection/>
    </xf>
    <xf numFmtId="0" fontId="78" fillId="0" borderId="21" xfId="52" applyFont="1" applyBorder="1" applyProtection="1">
      <alignment/>
      <protection/>
    </xf>
    <xf numFmtId="0" fontId="78" fillId="0" borderId="70" xfId="52" applyFont="1" applyBorder="1" applyProtection="1">
      <alignment/>
      <protection/>
    </xf>
    <xf numFmtId="0" fontId="87" fillId="0" borderId="66" xfId="52" applyFont="1" applyBorder="1" applyProtection="1">
      <alignment/>
      <protection/>
    </xf>
    <xf numFmtId="0" fontId="78" fillId="0" borderId="38" xfId="52" applyFont="1" applyBorder="1" applyProtection="1">
      <alignment/>
      <protection/>
    </xf>
    <xf numFmtId="2" fontId="78" fillId="0" borderId="69" xfId="52" applyNumberFormat="1" applyFont="1" applyBorder="1" applyProtection="1">
      <alignment/>
      <protection/>
    </xf>
    <xf numFmtId="0" fontId="82" fillId="0" borderId="66" xfId="52" applyFont="1" applyBorder="1" applyProtection="1">
      <alignment/>
      <protection/>
    </xf>
    <xf numFmtId="0" fontId="87" fillId="0" borderId="66" xfId="52" applyFont="1" applyFill="1" applyBorder="1" applyProtection="1">
      <alignment/>
      <protection/>
    </xf>
    <xf numFmtId="0" fontId="78" fillId="0" borderId="32" xfId="52" applyFont="1" applyBorder="1" applyProtection="1">
      <alignment/>
      <protection/>
    </xf>
    <xf numFmtId="0" fontId="87" fillId="0" borderId="72" xfId="52" applyFont="1" applyFill="1" applyBorder="1" applyProtection="1">
      <alignment/>
      <protection/>
    </xf>
    <xf numFmtId="0" fontId="78" fillId="0" borderId="59" xfId="52" applyFont="1" applyBorder="1" applyProtection="1">
      <alignment/>
      <protection/>
    </xf>
    <xf numFmtId="2" fontId="78" fillId="0" borderId="29" xfId="52" applyNumberFormat="1" applyFont="1" applyBorder="1" applyProtection="1">
      <alignment/>
      <protection/>
    </xf>
    <xf numFmtId="0" fontId="78" fillId="0" borderId="30" xfId="52" applyFont="1" applyBorder="1" applyProtection="1">
      <alignment/>
      <protection/>
    </xf>
    <xf numFmtId="0" fontId="78" fillId="0" borderId="31" xfId="52" applyFont="1" applyFill="1" applyBorder="1" applyProtection="1">
      <alignment/>
      <protection/>
    </xf>
    <xf numFmtId="0" fontId="87" fillId="0" borderId="31" xfId="52" applyFont="1" applyFill="1" applyBorder="1" applyProtection="1">
      <alignment/>
      <protection/>
    </xf>
    <xf numFmtId="0" fontId="78" fillId="0" borderId="24" xfId="52" applyFont="1" applyBorder="1" applyProtection="1">
      <alignment/>
      <protection/>
    </xf>
    <xf numFmtId="0" fontId="90" fillId="0" borderId="21" xfId="0" applyFont="1" applyBorder="1" applyAlignment="1">
      <alignment horizontal="center"/>
    </xf>
    <xf numFmtId="0" fontId="83" fillId="0" borderId="0" xfId="0" applyFont="1" applyAlignment="1">
      <alignment/>
    </xf>
    <xf numFmtId="0" fontId="90" fillId="0" borderId="21" xfId="0" applyFont="1" applyBorder="1" applyAlignment="1" quotePrefix="1">
      <alignment horizontal="center"/>
    </xf>
    <xf numFmtId="0" fontId="0" fillId="36" borderId="0" xfId="0" applyFont="1" applyFill="1" applyBorder="1" applyAlignment="1" applyProtection="1">
      <alignment/>
      <protection/>
    </xf>
    <xf numFmtId="0" fontId="23" fillId="0" borderId="25" xfId="0" applyFont="1" applyFill="1" applyBorder="1" applyAlignment="1">
      <alignment horizontal="left" vertical="center"/>
    </xf>
    <xf numFmtId="0" fontId="23" fillId="0" borderId="17" xfId="0" applyFont="1" applyFill="1" applyBorder="1" applyAlignment="1">
      <alignment horizontal="left" vertical="center"/>
    </xf>
    <xf numFmtId="0" fontId="0" fillId="0" borderId="0" xfId="0" applyFill="1" applyBorder="1" applyAlignment="1">
      <alignment horizontal="left" vertical="top"/>
    </xf>
    <xf numFmtId="0" fontId="0" fillId="0" borderId="21" xfId="0" applyFill="1" applyBorder="1" applyAlignment="1">
      <alignment horizontal="left" vertical="top"/>
    </xf>
    <xf numFmtId="0" fontId="0" fillId="0" borderId="31" xfId="0" applyFill="1" applyBorder="1" applyAlignment="1">
      <alignment horizontal="left" vertical="top"/>
    </xf>
    <xf numFmtId="0" fontId="0" fillId="0" borderId="24" xfId="0" applyFill="1" applyBorder="1" applyAlignment="1">
      <alignment horizontal="left" vertical="top"/>
    </xf>
    <xf numFmtId="0" fontId="0" fillId="35" borderId="0" xfId="0" applyFill="1" applyAlignment="1">
      <alignment horizontal="left" vertical="top" wrapText="1"/>
    </xf>
    <xf numFmtId="0" fontId="19" fillId="35" borderId="33" xfId="0" applyFont="1" applyFill="1" applyBorder="1" applyAlignment="1">
      <alignment horizontal="center"/>
    </xf>
    <xf numFmtId="0" fontId="10" fillId="35" borderId="0" xfId="0" applyFont="1" applyFill="1" applyBorder="1" applyAlignment="1">
      <alignment horizontal="left" vertical="top" wrapText="1"/>
    </xf>
    <xf numFmtId="0" fontId="10" fillId="35" borderId="33" xfId="0" applyFont="1" applyFill="1" applyBorder="1" applyAlignment="1">
      <alignment horizontal="left" vertical="top" wrapText="1"/>
    </xf>
    <xf numFmtId="0" fontId="10" fillId="35" borderId="38" xfId="0" applyFont="1" applyFill="1" applyBorder="1" applyAlignment="1">
      <alignment horizontal="left" vertical="top" wrapText="1"/>
    </xf>
    <xf numFmtId="0" fontId="91" fillId="35" borderId="0" xfId="0" applyFont="1" applyFill="1" applyBorder="1" applyAlignment="1">
      <alignment horizontal="center" vertical="center"/>
    </xf>
    <xf numFmtId="0" fontId="20" fillId="0" borderId="0" xfId="0" applyFont="1" applyFill="1" applyBorder="1" applyAlignment="1">
      <alignment horizontal="center"/>
    </xf>
    <xf numFmtId="0" fontId="0" fillId="0" borderId="53"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0" fillId="0" borderId="56" xfId="0" applyFill="1" applyBorder="1" applyAlignment="1" applyProtection="1">
      <alignment horizontal="left" vertical="top" wrapText="1"/>
      <protection locked="0"/>
    </xf>
    <xf numFmtId="0" fontId="0" fillId="0" borderId="68" xfId="0" applyFill="1" applyBorder="1" applyAlignment="1" applyProtection="1">
      <alignment horizontal="left"/>
      <protection locked="0"/>
    </xf>
    <xf numFmtId="0" fontId="0" fillId="0" borderId="90" xfId="0" applyFill="1" applyBorder="1" applyAlignment="1" applyProtection="1">
      <alignment horizontal="left"/>
      <protection locked="0"/>
    </xf>
    <xf numFmtId="0" fontId="0" fillId="0" borderId="71" xfId="0" applyFill="1" applyBorder="1" applyAlignment="1" applyProtection="1">
      <alignment horizontal="left"/>
      <protection locked="0"/>
    </xf>
    <xf numFmtId="0" fontId="0" fillId="0" borderId="38" xfId="0" applyFont="1" applyFill="1" applyBorder="1" applyAlignment="1" applyProtection="1">
      <alignment horizontal="left"/>
      <protection locked="0"/>
    </xf>
    <xf numFmtId="0" fontId="10" fillId="0" borderId="33" xfId="0" applyFont="1" applyFill="1" applyBorder="1" applyAlignment="1">
      <alignment horizontal="center"/>
    </xf>
    <xf numFmtId="0" fontId="0" fillId="0" borderId="38" xfId="0" applyFill="1" applyBorder="1" applyAlignment="1" applyProtection="1">
      <alignment horizontal="left"/>
      <protection locked="0"/>
    </xf>
    <xf numFmtId="0" fontId="0" fillId="0" borderId="68" xfId="0" applyFont="1" applyFill="1" applyBorder="1" applyAlignment="1" applyProtection="1">
      <alignment horizontal="left"/>
      <protection locked="0"/>
    </xf>
    <xf numFmtId="0" fontId="0" fillId="0" borderId="90" xfId="0" applyFont="1" applyFill="1" applyBorder="1" applyAlignment="1" applyProtection="1">
      <alignment horizontal="left"/>
      <protection locked="0"/>
    </xf>
    <xf numFmtId="0" fontId="0" fillId="0" borderId="71" xfId="0" applyFont="1" applyFill="1" applyBorder="1" applyAlignment="1" applyProtection="1">
      <alignment horizontal="left"/>
      <protection locked="0"/>
    </xf>
    <xf numFmtId="0" fontId="0" fillId="0" borderId="53" xfId="0" applyFill="1" applyBorder="1" applyAlignment="1">
      <alignment horizontal="center" vertical="center"/>
    </xf>
    <xf numFmtId="0" fontId="0" fillId="0" borderId="36" xfId="0" applyFill="1" applyBorder="1" applyAlignment="1">
      <alignment horizontal="center" vertical="center"/>
    </xf>
    <xf numFmtId="0" fontId="0" fillId="0" borderId="54" xfId="0"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55" xfId="0" applyFill="1" applyBorder="1" applyAlignment="1">
      <alignment horizontal="center" vertical="center"/>
    </xf>
    <xf numFmtId="0" fontId="0" fillId="0" borderId="33" xfId="0" applyFill="1" applyBorder="1" applyAlignment="1">
      <alignment horizontal="center" vertical="center"/>
    </xf>
    <xf numFmtId="0" fontId="0" fillId="0" borderId="56" xfId="0" applyFill="1" applyBorder="1" applyAlignment="1">
      <alignment horizontal="center" vertical="center"/>
    </xf>
    <xf numFmtId="169" fontId="0" fillId="0" borderId="68" xfId="0" applyNumberFormat="1" applyFont="1" applyFill="1" applyBorder="1" applyAlignment="1" applyProtection="1">
      <alignment horizontal="right"/>
      <protection locked="0"/>
    </xf>
    <xf numFmtId="169" fontId="0" fillId="0" borderId="90" xfId="0" applyNumberFormat="1" applyFont="1" applyFill="1" applyBorder="1" applyAlignment="1" applyProtection="1">
      <alignment horizontal="right"/>
      <protection locked="0"/>
    </xf>
    <xf numFmtId="169" fontId="0" fillId="0" borderId="71" xfId="0" applyNumberFormat="1" applyFont="1" applyFill="1" applyBorder="1" applyAlignment="1" applyProtection="1">
      <alignment horizontal="right"/>
      <protection locked="0"/>
    </xf>
    <xf numFmtId="0" fontId="0" fillId="35" borderId="36" xfId="0" applyFill="1" applyBorder="1" applyAlignment="1">
      <alignment horizontal="right"/>
    </xf>
    <xf numFmtId="0" fontId="0" fillId="0" borderId="36" xfId="0" applyBorder="1" applyAlignment="1">
      <alignment horizontal="right"/>
    </xf>
    <xf numFmtId="0" fontId="24" fillId="35" borderId="33" xfId="0" applyFont="1" applyFill="1" applyBorder="1" applyAlignment="1">
      <alignment horizontal="center"/>
    </xf>
    <xf numFmtId="0" fontId="0" fillId="0" borderId="38" xfId="0" applyFill="1" applyBorder="1" applyAlignment="1" applyProtection="1">
      <alignment horizontal="right"/>
      <protection locked="0"/>
    </xf>
    <xf numFmtId="0" fontId="0" fillId="0" borderId="68" xfId="0" applyNumberFormat="1" applyFill="1" applyBorder="1" applyAlignment="1" applyProtection="1">
      <alignment horizontal="right"/>
      <protection locked="0"/>
    </xf>
    <xf numFmtId="0" fontId="0" fillId="0" borderId="71" xfId="0" applyNumberFormat="1" applyFill="1" applyBorder="1" applyAlignment="1" applyProtection="1">
      <alignment horizontal="right"/>
      <protection locked="0"/>
    </xf>
    <xf numFmtId="0" fontId="10" fillId="35" borderId="90" xfId="0" applyFont="1" applyFill="1" applyBorder="1" applyAlignment="1">
      <alignment horizontal="right"/>
    </xf>
    <xf numFmtId="0" fontId="0" fillId="39" borderId="68" xfId="0" applyFill="1" applyBorder="1" applyAlignment="1">
      <alignment horizontal="left"/>
    </xf>
    <xf numFmtId="0" fontId="0" fillId="39" borderId="71" xfId="0" applyFill="1" applyBorder="1" applyAlignment="1">
      <alignment horizontal="left"/>
    </xf>
    <xf numFmtId="0" fontId="10" fillId="0" borderId="90" xfId="0" applyFont="1" applyFill="1" applyBorder="1" applyAlignment="1">
      <alignment horizontal="center"/>
    </xf>
    <xf numFmtId="0" fontId="10" fillId="35" borderId="20" xfId="0" applyFont="1" applyFill="1" applyBorder="1" applyAlignment="1">
      <alignment horizontal="center" vertical="center"/>
    </xf>
    <xf numFmtId="0" fontId="0" fillId="0" borderId="57"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10" fillId="35" borderId="35" xfId="0" applyFont="1" applyFill="1" applyBorder="1" applyAlignment="1">
      <alignment horizontal="center" vertical="center"/>
    </xf>
    <xf numFmtId="0" fontId="10" fillId="35" borderId="37" xfId="0" applyFont="1" applyFill="1" applyBorder="1" applyAlignment="1">
      <alignment horizontal="center" vertical="center"/>
    </xf>
    <xf numFmtId="0" fontId="20" fillId="0" borderId="11" xfId="0" applyFont="1" applyFill="1" applyBorder="1" applyAlignment="1">
      <alignment horizontal="left"/>
    </xf>
    <xf numFmtId="0" fontId="20" fillId="0" borderId="5" xfId="0" applyFont="1" applyFill="1" applyBorder="1" applyAlignment="1">
      <alignment horizontal="left"/>
    </xf>
    <xf numFmtId="0" fontId="20" fillId="0" borderId="14" xfId="0" applyFont="1" applyFill="1" applyBorder="1" applyAlignment="1">
      <alignment horizontal="left"/>
    </xf>
    <xf numFmtId="0" fontId="24" fillId="0" borderId="0" xfId="0" applyFont="1" applyFill="1" applyBorder="1" applyAlignment="1">
      <alignment horizontal="center" vertical="center" shrinkToFit="1"/>
    </xf>
    <xf numFmtId="1" fontId="20" fillId="0" borderId="66" xfId="0" applyNumberFormat="1" applyFont="1" applyFill="1" applyBorder="1" applyAlignment="1">
      <alignment horizontal="center"/>
    </xf>
    <xf numFmtId="1" fontId="20" fillId="0" borderId="77" xfId="0" applyNumberFormat="1" applyFont="1" applyFill="1" applyBorder="1" applyAlignment="1">
      <alignment horizontal="center"/>
    </xf>
    <xf numFmtId="1" fontId="20" fillId="0" borderId="72" xfId="0" applyNumberFormat="1" applyFont="1" applyFill="1" applyBorder="1" applyAlignment="1">
      <alignment horizontal="center"/>
    </xf>
    <xf numFmtId="1" fontId="20" fillId="0" borderId="78" xfId="0" applyNumberFormat="1" applyFont="1" applyFill="1" applyBorder="1" applyAlignment="1">
      <alignment horizontal="center"/>
    </xf>
    <xf numFmtId="0" fontId="39" fillId="0" borderId="68" xfId="0" applyFont="1" applyFill="1" applyBorder="1" applyAlignment="1">
      <alignment horizontal="center"/>
    </xf>
    <xf numFmtId="0" fontId="39" fillId="0" borderId="90" xfId="0" applyFont="1" applyFill="1" applyBorder="1" applyAlignment="1">
      <alignment horizontal="center"/>
    </xf>
    <xf numFmtId="0" fontId="39" fillId="0" borderId="77" xfId="0" applyFont="1" applyFill="1" applyBorder="1" applyAlignment="1">
      <alignment horizontal="center"/>
    </xf>
    <xf numFmtId="0" fontId="39" fillId="0" borderId="73" xfId="0" applyFont="1" applyFill="1" applyBorder="1" applyAlignment="1">
      <alignment horizontal="center"/>
    </xf>
    <xf numFmtId="0" fontId="39" fillId="0" borderId="93" xfId="0" applyFont="1" applyFill="1" applyBorder="1" applyAlignment="1">
      <alignment horizontal="center"/>
    </xf>
    <xf numFmtId="0" fontId="39" fillId="0" borderId="78" xfId="0" applyFont="1" applyFill="1" applyBorder="1" applyAlignment="1">
      <alignment horizontal="center"/>
    </xf>
    <xf numFmtId="0" fontId="39" fillId="0" borderId="71" xfId="0" applyFont="1" applyFill="1" applyBorder="1" applyAlignment="1">
      <alignment horizontal="center"/>
    </xf>
    <xf numFmtId="0" fontId="39" fillId="0" borderId="74" xfId="0" applyFont="1" applyFill="1" applyBorder="1" applyAlignment="1">
      <alignment horizontal="center"/>
    </xf>
    <xf numFmtId="0" fontId="92" fillId="0" borderId="61" xfId="0" applyFont="1" applyFill="1" applyBorder="1" applyAlignment="1">
      <alignment horizontal="center"/>
    </xf>
    <xf numFmtId="0" fontId="92" fillId="0" borderId="82" xfId="0" applyFont="1" applyFill="1" applyBorder="1" applyAlignment="1">
      <alignment horizontal="center"/>
    </xf>
    <xf numFmtId="0" fontId="92" fillId="0" borderId="66" xfId="0" applyFont="1" applyFill="1" applyBorder="1" applyAlignment="1">
      <alignment horizontal="center"/>
    </xf>
    <xf numFmtId="0" fontId="92" fillId="0" borderId="77" xfId="0" applyFont="1" applyFill="1" applyBorder="1" applyAlignment="1">
      <alignment horizontal="center"/>
    </xf>
    <xf numFmtId="0" fontId="2" fillId="0" borderId="38" xfId="0" applyFont="1" applyBorder="1" applyAlignment="1">
      <alignment horizontal="center"/>
    </xf>
    <xf numFmtId="0" fontId="2" fillId="0" borderId="69" xfId="0" applyFont="1" applyBorder="1" applyAlignment="1">
      <alignment horizontal="center"/>
    </xf>
    <xf numFmtId="0" fontId="2" fillId="0" borderId="67" xfId="0" applyFont="1" applyBorder="1" applyAlignment="1">
      <alignment horizontal="left"/>
    </xf>
    <xf numFmtId="0" fontId="2" fillId="0" borderId="38" xfId="0" applyFont="1" applyBorder="1" applyAlignment="1">
      <alignment horizontal="left"/>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12"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28" xfId="0" applyFont="1" applyBorder="1" applyAlignment="1">
      <alignment horizontal="left"/>
    </xf>
    <xf numFmtId="0" fontId="2" fillId="0" borderId="59" xfId="0" applyFont="1" applyBorder="1" applyAlignment="1">
      <alignment horizontal="left"/>
    </xf>
    <xf numFmtId="0" fontId="2" fillId="0" borderId="59" xfId="0" applyFont="1" applyBorder="1" applyAlignment="1">
      <alignment horizontal="center"/>
    </xf>
    <xf numFmtId="0" fontId="2" fillId="0" borderId="29" xfId="0" applyFont="1" applyBorder="1" applyAlignment="1">
      <alignment horizontal="center"/>
    </xf>
    <xf numFmtId="0" fontId="2" fillId="0" borderId="86" xfId="0" applyFont="1" applyBorder="1" applyAlignment="1">
      <alignment horizontal="left"/>
    </xf>
    <xf numFmtId="0" fontId="2" fillId="0" borderId="64" xfId="0" applyFont="1" applyBorder="1" applyAlignment="1">
      <alignment horizontal="left"/>
    </xf>
    <xf numFmtId="43" fontId="2" fillId="0" borderId="64" xfId="41" applyFont="1" applyBorder="1" applyAlignment="1">
      <alignment horizontal="center"/>
    </xf>
    <xf numFmtId="43" fontId="2" fillId="0" borderId="65" xfId="41"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0" fontId="2" fillId="0" borderId="59" xfId="0" applyFont="1" applyBorder="1" applyAlignment="1">
      <alignment horizontal="center" vertical="center"/>
    </xf>
    <xf numFmtId="0" fontId="2" fillId="0" borderId="29" xfId="0" applyFont="1" applyBorder="1" applyAlignment="1">
      <alignment horizontal="center" vertical="center"/>
    </xf>
    <xf numFmtId="0" fontId="2" fillId="0" borderId="6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86" xfId="0" applyFont="1" applyBorder="1" applyAlignment="1">
      <alignment horizontal="left" vertical="center"/>
    </xf>
    <xf numFmtId="0" fontId="2" fillId="0" borderId="64" xfId="0" applyFont="1" applyBorder="1" applyAlignment="1">
      <alignment horizontal="left" vertical="center"/>
    </xf>
    <xf numFmtId="0" fontId="2" fillId="0" borderId="28" xfId="0" applyFont="1" applyBorder="1" applyAlignment="1">
      <alignment horizontal="left" vertical="center"/>
    </xf>
    <xf numFmtId="0" fontId="2" fillId="0" borderId="59" xfId="0" applyFont="1" applyBorder="1" applyAlignment="1">
      <alignment horizontal="left" vertical="center"/>
    </xf>
    <xf numFmtId="0" fontId="93" fillId="0" borderId="31" xfId="0" applyFont="1" applyFill="1" applyBorder="1" applyAlignment="1">
      <alignment horizontal="center" vertical="center"/>
    </xf>
    <xf numFmtId="49" fontId="20" fillId="0" borderId="86" xfId="0" applyNumberFormat="1" applyFont="1" applyFill="1" applyBorder="1" applyAlignment="1">
      <alignment horizontal="left" shrinkToFit="1"/>
    </xf>
    <xf numFmtId="49" fontId="20" fillId="0" borderId="64" xfId="0" applyNumberFormat="1" applyFont="1" applyFill="1" applyBorder="1" applyAlignment="1">
      <alignment horizontal="left" shrinkToFit="1"/>
    </xf>
    <xf numFmtId="49" fontId="20" fillId="0" borderId="65" xfId="0" applyNumberFormat="1" applyFont="1" applyFill="1" applyBorder="1" applyAlignment="1">
      <alignment horizontal="left" shrinkToFit="1"/>
    </xf>
    <xf numFmtId="49" fontId="20" fillId="0" borderId="67" xfId="0" applyNumberFormat="1" applyFont="1" applyFill="1" applyBorder="1" applyAlignment="1">
      <alignment horizontal="left" shrinkToFit="1"/>
    </xf>
    <xf numFmtId="49" fontId="20" fillId="0" borderId="38" xfId="0" applyNumberFormat="1" applyFont="1" applyFill="1" applyBorder="1" applyAlignment="1">
      <alignment horizontal="left" shrinkToFit="1"/>
    </xf>
    <xf numFmtId="49" fontId="20" fillId="0" borderId="69" xfId="0" applyNumberFormat="1" applyFont="1" applyFill="1" applyBorder="1" applyAlignment="1">
      <alignment horizontal="left" shrinkToFit="1"/>
    </xf>
    <xf numFmtId="0" fontId="20" fillId="0" borderId="94" xfId="0" applyFont="1" applyFill="1" applyBorder="1" applyAlignment="1">
      <alignment horizontal="center"/>
    </xf>
    <xf numFmtId="0" fontId="20" fillId="0" borderId="12" xfId="0" applyFont="1" applyFill="1" applyBorder="1" applyAlignment="1">
      <alignment horizontal="center"/>
    </xf>
    <xf numFmtId="1" fontId="20" fillId="0" borderId="79" xfId="0" applyNumberFormat="1" applyFont="1" applyFill="1" applyBorder="1" applyAlignment="1">
      <alignment horizontal="center"/>
    </xf>
    <xf numFmtId="1" fontId="20" fillId="0" borderId="76" xfId="0" applyNumberFormat="1" applyFont="1" applyFill="1" applyBorder="1" applyAlignment="1">
      <alignment horizontal="center"/>
    </xf>
    <xf numFmtId="0" fontId="39" fillId="0" borderId="33" xfId="0" applyFont="1" applyFill="1" applyBorder="1" applyAlignment="1">
      <alignment horizontal="center"/>
    </xf>
    <xf numFmtId="0" fontId="39" fillId="0" borderId="56" xfId="0" applyFont="1" applyFill="1" applyBorder="1" applyAlignment="1">
      <alignment horizontal="center"/>
    </xf>
    <xf numFmtId="0" fontId="20" fillId="0" borderId="95" xfId="0" applyFont="1" applyFill="1" applyBorder="1" applyAlignment="1">
      <alignment horizontal="center"/>
    </xf>
    <xf numFmtId="0" fontId="20" fillId="0" borderId="60" xfId="0" applyFont="1" applyFill="1" applyBorder="1" applyAlignment="1">
      <alignment horizontal="center"/>
    </xf>
    <xf numFmtId="0" fontId="20" fillId="0" borderId="96" xfId="0" applyFont="1" applyFill="1" applyBorder="1" applyAlignment="1">
      <alignment horizontal="center"/>
    </xf>
    <xf numFmtId="0" fontId="39" fillId="0" borderId="55" xfId="0" applyFont="1" applyFill="1" applyBorder="1" applyAlignment="1">
      <alignment horizontal="center"/>
    </xf>
    <xf numFmtId="0" fontId="39" fillId="0" borderId="82" xfId="0" applyFont="1" applyFill="1" applyBorder="1" applyAlignment="1">
      <alignment horizontal="center"/>
    </xf>
    <xf numFmtId="0" fontId="88" fillId="0" borderId="31" xfId="0" applyFont="1" applyFill="1" applyBorder="1" applyAlignment="1">
      <alignment horizontal="center"/>
    </xf>
    <xf numFmtId="49" fontId="20" fillId="0" borderId="28" xfId="0" applyNumberFormat="1" applyFont="1" applyFill="1" applyBorder="1" applyAlignment="1">
      <alignment horizontal="left" shrinkToFit="1"/>
    </xf>
    <xf numFmtId="49" fontId="20" fillId="0" borderId="59" xfId="0" applyNumberFormat="1" applyFont="1" applyFill="1" applyBorder="1" applyAlignment="1">
      <alignment horizontal="left" shrinkToFit="1"/>
    </xf>
    <xf numFmtId="49" fontId="20" fillId="0" borderId="29" xfId="0" applyNumberFormat="1" applyFont="1" applyFill="1" applyBorder="1" applyAlignment="1">
      <alignment horizontal="left" shrinkToFit="1"/>
    </xf>
    <xf numFmtId="0" fontId="92" fillId="0" borderId="72" xfId="0" applyFont="1" applyFill="1" applyBorder="1" applyAlignment="1">
      <alignment horizontal="center"/>
    </xf>
    <xf numFmtId="0" fontId="92" fillId="0" borderId="78" xfId="0" applyFont="1" applyFill="1" applyBorder="1" applyAlignment="1">
      <alignment horizontal="center"/>
    </xf>
    <xf numFmtId="2" fontId="10" fillId="0" borderId="25" xfId="0" applyNumberFormat="1" applyFont="1" applyFill="1" applyBorder="1" applyAlignment="1">
      <alignment horizontal="center"/>
    </xf>
    <xf numFmtId="0" fontId="10" fillId="0" borderId="25" xfId="0" applyFont="1" applyFill="1" applyBorder="1" applyAlignment="1">
      <alignment horizontal="center"/>
    </xf>
    <xf numFmtId="0" fontId="88" fillId="0" borderId="33" xfId="0" applyFont="1" applyFill="1" applyBorder="1" applyAlignment="1">
      <alignment horizontal="center"/>
    </xf>
    <xf numFmtId="0" fontId="0" fillId="0" borderId="25" xfId="0" applyFont="1" applyFill="1" applyBorder="1" applyAlignment="1">
      <alignment horizontal="right"/>
    </xf>
    <xf numFmtId="0" fontId="0" fillId="0" borderId="0" xfId="0" applyFont="1" applyFill="1" applyBorder="1" applyAlignment="1">
      <alignment horizontal="right"/>
    </xf>
    <xf numFmtId="0" fontId="10" fillId="0" borderId="25" xfId="0" applyFont="1" applyFill="1" applyBorder="1" applyAlignment="1">
      <alignment horizontal="left" shrinkToFit="1"/>
    </xf>
    <xf numFmtId="0" fontId="10" fillId="0" borderId="0" xfId="0" applyFont="1" applyFill="1" applyBorder="1" applyAlignment="1">
      <alignment horizontal="left" shrinkToFit="1"/>
    </xf>
    <xf numFmtId="0" fontId="10" fillId="0" borderId="0" xfId="0" applyFont="1" applyFill="1" applyBorder="1" applyAlignment="1">
      <alignment horizontal="center"/>
    </xf>
    <xf numFmtId="0" fontId="10" fillId="0" borderId="94" xfId="0" applyFont="1" applyFill="1" applyBorder="1" applyAlignment="1">
      <alignment horizontal="center" vertical="center"/>
    </xf>
    <xf numFmtId="0" fontId="10" fillId="0" borderId="12" xfId="0" applyFont="1" applyFill="1" applyBorder="1" applyAlignment="1">
      <alignment horizontal="center" vertical="center"/>
    </xf>
    <xf numFmtId="1" fontId="22" fillId="0" borderId="38" xfId="0" applyNumberFormat="1" applyFont="1" applyFill="1" applyBorder="1" applyAlignment="1">
      <alignment horizontal="center" vertical="center" shrinkToFit="1"/>
    </xf>
    <xf numFmtId="0" fontId="0" fillId="0" borderId="30" xfId="0" applyFill="1" applyBorder="1" applyAlignment="1">
      <alignment horizontal="left" vertical="center" shrinkToFit="1"/>
    </xf>
    <xf numFmtId="0" fontId="10" fillId="0" borderId="83" xfId="0" applyFont="1" applyFill="1" applyBorder="1" applyAlignment="1">
      <alignment horizontal="left" vertical="center"/>
    </xf>
    <xf numFmtId="0" fontId="0" fillId="0" borderId="52" xfId="0" applyFill="1" applyBorder="1" applyAlignment="1">
      <alignment horizontal="center" vertical="center"/>
    </xf>
    <xf numFmtId="0" fontId="10" fillId="0" borderId="13" xfId="0" applyFont="1" applyFill="1" applyBorder="1" applyAlignment="1">
      <alignment horizontal="left" shrinkToFit="1"/>
    </xf>
    <xf numFmtId="0" fontId="94" fillId="0" borderId="97" xfId="53" applyFont="1" applyFill="1" applyBorder="1" applyAlignment="1">
      <alignment horizontal="center" vertical="center" shrinkToFit="1"/>
    </xf>
    <xf numFmtId="1" fontId="5" fillId="0" borderId="98" xfId="0" applyNumberFormat="1" applyFont="1" applyFill="1" applyBorder="1" applyAlignment="1">
      <alignment horizontal="center" vertical="center"/>
    </xf>
    <xf numFmtId="0" fontId="5" fillId="0" borderId="99" xfId="0" applyFont="1" applyFill="1" applyBorder="1" applyAlignment="1">
      <alignment horizontal="center" vertical="center" shrinkToFit="1"/>
    </xf>
    <xf numFmtId="0" fontId="5" fillId="0" borderId="99" xfId="0" applyFont="1" applyFill="1" applyBorder="1" applyAlignment="1">
      <alignment horizontal="center" vertical="center"/>
    </xf>
    <xf numFmtId="2" fontId="5" fillId="0" borderId="100" xfId="0" applyNumberFormat="1" applyFont="1" applyFill="1" applyBorder="1" applyAlignment="1">
      <alignment horizontal="center" vertical="center" shrinkToFit="1"/>
    </xf>
    <xf numFmtId="2" fontId="5" fillId="0" borderId="99" xfId="0" applyNumberFormat="1" applyFont="1" applyFill="1" applyBorder="1" applyAlignment="1">
      <alignment horizontal="center" vertical="center" shrinkToFit="1"/>
    </xf>
    <xf numFmtId="2" fontId="5" fillId="0" borderId="101" xfId="0" applyNumberFormat="1" applyFont="1" applyFill="1" applyBorder="1" applyAlignment="1">
      <alignment horizontal="center" vertical="center" shrinkToFit="1"/>
    </xf>
    <xf numFmtId="2" fontId="5" fillId="0" borderId="102" xfId="0" applyNumberFormat="1" applyFont="1" applyFill="1" applyBorder="1" applyAlignment="1">
      <alignment horizontal="center" vertical="center" shrinkToFit="1"/>
    </xf>
    <xf numFmtId="2" fontId="5" fillId="0" borderId="103" xfId="0" applyNumberFormat="1" applyFont="1" applyFill="1" applyBorder="1" applyAlignment="1">
      <alignment horizontal="center" vertical="center" shrinkToFit="1"/>
    </xf>
    <xf numFmtId="0" fontId="5" fillId="0" borderId="104" xfId="0" applyFont="1" applyFill="1" applyBorder="1" applyAlignment="1">
      <alignment horizontal="center" vertical="center"/>
    </xf>
    <xf numFmtId="2" fontId="10" fillId="0" borderId="0"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83" xfId="0" applyFont="1" applyFill="1" applyBorder="1" applyAlignment="1">
      <alignment horizontal="center" vertical="center" shrinkToFit="1"/>
    </xf>
    <xf numFmtId="0" fontId="10" fillId="0" borderId="83" xfId="0" applyFont="1" applyFill="1" applyBorder="1" applyAlignment="1">
      <alignment horizontal="left" vertical="center" shrinkToFit="1"/>
    </xf>
    <xf numFmtId="2" fontId="5" fillId="0" borderId="105" xfId="0" applyNumberFormat="1" applyFont="1" applyFill="1" applyBorder="1" applyAlignment="1">
      <alignment horizontal="center" vertical="center" shrinkToFit="1"/>
    </xf>
    <xf numFmtId="0" fontId="5" fillId="0" borderId="106" xfId="0" applyFont="1" applyFill="1" applyBorder="1" applyAlignment="1">
      <alignment horizontal="center" vertical="center"/>
    </xf>
    <xf numFmtId="1" fontId="5" fillId="0" borderId="107" xfId="0" applyNumberFormat="1" applyFont="1" applyFill="1" applyBorder="1" applyAlignment="1">
      <alignment horizontal="center" vertical="center"/>
    </xf>
    <xf numFmtId="0" fontId="5" fillId="0" borderId="100" xfId="0" applyFont="1" applyFill="1" applyBorder="1" applyAlignment="1">
      <alignment horizontal="center" vertical="center" shrinkToFit="1"/>
    </xf>
    <xf numFmtId="0" fontId="5" fillId="0" borderId="100" xfId="0" applyFont="1" applyFill="1" applyBorder="1" applyAlignment="1">
      <alignment horizontal="center" vertical="center"/>
    </xf>
    <xf numFmtId="0" fontId="0" fillId="0" borderId="30" xfId="0" applyFont="1" applyFill="1" applyBorder="1" applyAlignment="1">
      <alignment horizontal="left" vertical="center" shrinkToFit="1"/>
    </xf>
    <xf numFmtId="2" fontId="5" fillId="0" borderId="108" xfId="0" applyNumberFormat="1" applyFont="1" applyFill="1" applyBorder="1" applyAlignment="1">
      <alignment horizontal="center" vertical="center" shrinkToFit="1"/>
    </xf>
    <xf numFmtId="0" fontId="5" fillId="0" borderId="109" xfId="0" applyFont="1" applyFill="1" applyBorder="1" applyAlignment="1">
      <alignment horizontal="center" vertical="center"/>
    </xf>
    <xf numFmtId="0" fontId="0" fillId="0" borderId="110" xfId="0" applyFill="1" applyBorder="1" applyAlignment="1">
      <alignment horizontal="left" vertical="top" wrapText="1"/>
    </xf>
    <xf numFmtId="0" fontId="0" fillId="0" borderId="111" xfId="0" applyFill="1" applyBorder="1" applyAlignment="1">
      <alignment horizontal="left" vertical="top" wrapText="1"/>
    </xf>
    <xf numFmtId="0" fontId="0" fillId="0" borderId="112" xfId="0" applyFill="1" applyBorder="1" applyAlignment="1">
      <alignment horizontal="left" vertical="top" wrapText="1"/>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7" fillId="0" borderId="0" xfId="0" applyFont="1" applyFill="1" applyBorder="1" applyAlignment="1">
      <alignment horizontal="right" vertical="top"/>
    </xf>
    <xf numFmtId="169" fontId="21" fillId="0" borderId="0" xfId="0" applyNumberFormat="1" applyFont="1" applyFill="1" applyBorder="1" applyAlignment="1">
      <alignment horizontal="left"/>
    </xf>
    <xf numFmtId="0" fontId="21" fillId="0" borderId="0" xfId="0" applyFont="1" applyFill="1" applyBorder="1" applyAlignment="1">
      <alignment horizontal="left" vertical="center"/>
    </xf>
    <xf numFmtId="0" fontId="0" fillId="0" borderId="89" xfId="0" applyFill="1" applyBorder="1" applyAlignment="1">
      <alignment horizontal="center" vertical="center"/>
    </xf>
    <xf numFmtId="0" fontId="10" fillId="0" borderId="18" xfId="0" applyFont="1" applyFill="1" applyBorder="1" applyAlignment="1">
      <alignment horizontal="left" shrinkToFit="1"/>
    </xf>
    <xf numFmtId="1" fontId="5" fillId="0" borderId="113" xfId="0" applyNumberFormat="1" applyFont="1" applyFill="1" applyBorder="1" applyAlignment="1">
      <alignment horizontal="center" vertical="center"/>
    </xf>
    <xf numFmtId="0" fontId="5" fillId="0" borderId="108" xfId="0" applyFont="1" applyFill="1" applyBorder="1" applyAlignment="1">
      <alignment horizontal="center" vertical="center" shrinkToFit="1"/>
    </xf>
    <xf numFmtId="0" fontId="0" fillId="0" borderId="0" xfId="0" applyFont="1" applyFill="1" applyBorder="1" applyAlignment="1">
      <alignment horizontal="center" wrapText="1"/>
    </xf>
    <xf numFmtId="0" fontId="21" fillId="0" borderId="0" xfId="0" applyFont="1" applyFill="1" applyBorder="1" applyAlignment="1">
      <alignment horizontal="left" vertical="top"/>
    </xf>
    <xf numFmtId="0" fontId="0" fillId="0" borderId="9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5" fillId="0" borderId="108" xfId="0" applyFont="1" applyFill="1" applyBorder="1" applyAlignment="1">
      <alignment horizontal="center" vertical="center"/>
    </xf>
    <xf numFmtId="0" fontId="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13" xfId="0" applyFont="1" applyFill="1" applyBorder="1" applyAlignment="1">
      <alignment horizontal="center" vertical="top" wrapText="1"/>
    </xf>
    <xf numFmtId="0" fontId="16" fillId="0" borderId="2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6" fillId="0" borderId="30"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0" borderId="24" xfId="0" applyFont="1" applyFill="1" applyBorder="1" applyAlignment="1">
      <alignment horizontal="center" vertical="top" wrapText="1"/>
    </xf>
    <xf numFmtId="0" fontId="0" fillId="41" borderId="27" xfId="0" applyFill="1" applyBorder="1" applyAlignment="1">
      <alignment horizontal="center" vertical="center"/>
    </xf>
    <xf numFmtId="0" fontId="0" fillId="41" borderId="29" xfId="0" applyFill="1" applyBorder="1" applyAlignment="1">
      <alignment horizontal="center" vertical="center"/>
    </xf>
    <xf numFmtId="0" fontId="0" fillId="34" borderId="31" xfId="0" applyFill="1" applyBorder="1" applyAlignment="1">
      <alignment/>
    </xf>
    <xf numFmtId="0" fontId="0" fillId="34" borderId="24" xfId="0" applyFill="1" applyBorder="1" applyAlignment="1">
      <alignment/>
    </xf>
    <xf numFmtId="0" fontId="0" fillId="34" borderId="30" xfId="53" applyFont="1" applyFill="1" applyBorder="1" applyAlignment="1">
      <alignment/>
    </xf>
    <xf numFmtId="0" fontId="0" fillId="34" borderId="31" xfId="53" applyFont="1" applyFill="1" applyBorder="1" applyAlignment="1">
      <alignment/>
    </xf>
    <xf numFmtId="0" fontId="0" fillId="34" borderId="0" xfId="0" applyFill="1" applyAlignment="1">
      <alignment/>
    </xf>
    <xf numFmtId="0" fontId="0" fillId="34" borderId="0" xfId="53" applyFont="1" applyFill="1" applyBorder="1" applyAlignment="1">
      <alignment/>
    </xf>
    <xf numFmtId="0" fontId="0" fillId="34" borderId="31" xfId="0" applyFill="1" applyBorder="1" applyAlignment="1">
      <alignment horizontal="center" vertical="center"/>
    </xf>
    <xf numFmtId="0" fontId="0" fillId="34" borderId="24" xfId="0" applyFill="1" applyBorder="1" applyAlignment="1">
      <alignment horizontal="center" vertical="center"/>
    </xf>
    <xf numFmtId="0" fontId="0" fillId="0" borderId="5" xfId="0"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2" fillId="34" borderId="31" xfId="0" applyFont="1" applyFill="1" applyBorder="1" applyAlignment="1">
      <alignment horizontal="center"/>
    </xf>
    <xf numFmtId="0" fontId="0" fillId="0" borderId="0" xfId="0" applyAlignment="1">
      <alignment horizontal="center" vertical="center"/>
    </xf>
    <xf numFmtId="0" fontId="0" fillId="34" borderId="30" xfId="0" applyFill="1" applyBorder="1" applyAlignment="1">
      <alignment/>
    </xf>
    <xf numFmtId="0" fontId="0" fillId="34" borderId="0" xfId="0" applyFill="1" applyAlignment="1">
      <alignment horizont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0" fillId="32" borderId="27" xfId="0" applyFill="1" applyBorder="1" applyAlignment="1">
      <alignment horizontal="center" vertical="center"/>
    </xf>
    <xf numFmtId="0" fontId="0" fillId="32" borderId="29" xfId="0" applyFill="1" applyBorder="1" applyAlignment="1">
      <alignment horizontal="center" vertical="center"/>
    </xf>
    <xf numFmtId="0" fontId="0" fillId="34" borderId="0" xfId="0" applyFill="1" applyAlignment="1">
      <alignment horizontal="center" vertical="center"/>
    </xf>
    <xf numFmtId="0" fontId="0" fillId="0" borderId="11" xfId="53" applyFont="1" applyFill="1" applyBorder="1" applyAlignment="1">
      <alignment horizontal="center" vertical="center"/>
    </xf>
    <xf numFmtId="0" fontId="0" fillId="0" borderId="5" xfId="53" applyFont="1" applyFill="1" applyBorder="1" applyAlignment="1">
      <alignment horizontal="center" vertical="center"/>
    </xf>
    <xf numFmtId="0" fontId="67" fillId="0" borderId="94" xfId="52" applyFont="1" applyBorder="1" applyAlignment="1" applyProtection="1">
      <alignment horizontal="center"/>
      <protection/>
    </xf>
    <xf numFmtId="0" fontId="67" fillId="0" borderId="95" xfId="52" applyFont="1" applyBorder="1" applyAlignment="1" applyProtection="1">
      <alignment horizontal="center"/>
      <protection/>
    </xf>
    <xf numFmtId="0" fontId="67" fillId="0" borderId="12" xfId="52" applyFont="1" applyBorder="1" applyAlignment="1" applyProtection="1">
      <alignment horizontal="center"/>
      <protection/>
    </xf>
    <xf numFmtId="0" fontId="26" fillId="0" borderId="94" xfId="0" applyFont="1" applyBorder="1" applyAlignment="1">
      <alignment horizontal="center"/>
    </xf>
    <xf numFmtId="0" fontId="26" fillId="0" borderId="95" xfId="0" applyFont="1" applyBorder="1" applyAlignment="1">
      <alignment horizontal="center"/>
    </xf>
    <xf numFmtId="0" fontId="26" fillId="0" borderId="12" xfId="0" applyFont="1" applyBorder="1" applyAlignment="1">
      <alignment horizontal="center"/>
    </xf>
    <xf numFmtId="0" fontId="62" fillId="0" borderId="94" xfId="52" applyFont="1" applyBorder="1" applyAlignment="1" applyProtection="1">
      <alignment horizontal="left" vertical="top" wrapText="1"/>
      <protection/>
    </xf>
    <xf numFmtId="0" fontId="62" fillId="0" borderId="95" xfId="52" applyFont="1" applyBorder="1" applyAlignment="1" applyProtection="1">
      <alignment horizontal="left" vertical="top" wrapText="1"/>
      <protection/>
    </xf>
    <xf numFmtId="0" fontId="62" fillId="0" borderId="12" xfId="52" applyFont="1" applyBorder="1" applyAlignment="1" applyProtection="1">
      <alignment horizontal="left" vertical="top" wrapText="1"/>
      <protection/>
    </xf>
    <xf numFmtId="0" fontId="62" fillId="0" borderId="95" xfId="52" applyFont="1" applyBorder="1" applyAlignment="1" applyProtection="1">
      <alignment horizontal="left" vertical="top" wrapText="1"/>
      <protection/>
    </xf>
    <xf numFmtId="0" fontId="62" fillId="0" borderId="12" xfId="52" applyFont="1" applyBorder="1" applyAlignment="1" applyProtection="1">
      <alignment horizontal="left" vertical="top" wrapText="1"/>
      <protection/>
    </xf>
    <xf numFmtId="0" fontId="62" fillId="0" borderId="94" xfId="52" applyFont="1" applyBorder="1" applyAlignment="1" applyProtection="1">
      <alignment horizontal="left" vertical="top" wrapText="1"/>
      <protection/>
    </xf>
    <xf numFmtId="0" fontId="62" fillId="0" borderId="95" xfId="52" applyBorder="1" applyAlignment="1" applyProtection="1">
      <alignment horizontal="left" vertical="top" wrapText="1"/>
      <protection/>
    </xf>
    <xf numFmtId="0" fontId="62" fillId="0" borderId="12" xfId="52" applyBorder="1" applyAlignment="1" applyProtection="1">
      <alignment horizontal="left" vertical="top" wrapText="1"/>
      <protection/>
    </xf>
    <xf numFmtId="0" fontId="26" fillId="0" borderId="13" xfId="0" applyFont="1" applyFill="1" applyBorder="1" applyAlignment="1">
      <alignment horizontal="center"/>
    </xf>
    <xf numFmtId="0" fontId="26" fillId="0" borderId="25" xfId="0" applyFont="1" applyFill="1" applyBorder="1" applyAlignment="1">
      <alignment horizontal="center"/>
    </xf>
    <xf numFmtId="0" fontId="26" fillId="0" borderId="94" xfId="0" applyFont="1" applyFill="1" applyBorder="1" applyAlignment="1">
      <alignment horizontal="center"/>
    </xf>
    <xf numFmtId="0" fontId="26" fillId="0" borderId="95" xfId="0" applyFont="1" applyFill="1" applyBorder="1" applyAlignment="1">
      <alignment horizontal="center"/>
    </xf>
    <xf numFmtId="0" fontId="26" fillId="0" borderId="12" xfId="0" applyFont="1" applyFill="1" applyBorder="1" applyAlignment="1">
      <alignment horizontal="center"/>
    </xf>
    <xf numFmtId="0" fontId="62" fillId="0" borderId="94" xfId="52" applyFont="1" applyBorder="1" applyAlignment="1" applyProtection="1">
      <alignment horizontal="left" vertical="top" wrapText="1"/>
      <protection/>
    </xf>
    <xf numFmtId="0" fontId="95" fillId="0" borderId="68" xfId="0" applyFont="1" applyFill="1" applyBorder="1" applyAlignment="1">
      <alignment horizontal="left" vertical="top" wrapText="1"/>
    </xf>
    <xf numFmtId="0" fontId="95" fillId="0" borderId="90" xfId="0" applyFont="1" applyFill="1" applyBorder="1" applyAlignment="1">
      <alignment horizontal="left" vertical="top" wrapText="1"/>
    </xf>
    <xf numFmtId="0" fontId="95" fillId="0" borderId="71" xfId="0" applyFont="1" applyFill="1" applyBorder="1" applyAlignment="1">
      <alignment horizontal="left"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TableStyleLight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wmf"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image" Target="../media/image12.jpeg" /><Relationship Id="rId4" Type="http://schemas.openxmlformats.org/officeDocument/2006/relationships/image" Target="../media/image13.jpeg" /><Relationship Id="rId5" Type="http://schemas.openxmlformats.org/officeDocument/2006/relationships/image" Target="../media/image14.jpeg" /><Relationship Id="rId6" Type="http://schemas.openxmlformats.org/officeDocument/2006/relationships/image" Target="../media/image15.jpeg" /><Relationship Id="rId7" Type="http://schemas.openxmlformats.org/officeDocument/2006/relationships/image" Target="../media/image16.jpeg" /><Relationship Id="rId8" Type="http://schemas.openxmlformats.org/officeDocument/2006/relationships/image" Target="../media/image17.jpeg" /><Relationship Id="rId9" Type="http://schemas.openxmlformats.org/officeDocument/2006/relationships/image" Target="../media/image18.jpeg" /><Relationship Id="rId10" Type="http://schemas.openxmlformats.org/officeDocument/2006/relationships/image" Target="../media/image19.jpeg" /><Relationship Id="rId11" Type="http://schemas.openxmlformats.org/officeDocument/2006/relationships/image" Target="../media/image20.jpeg" /><Relationship Id="rId12" Type="http://schemas.openxmlformats.org/officeDocument/2006/relationships/image" Target="../media/image21.jpeg" /><Relationship Id="rId13" Type="http://schemas.openxmlformats.org/officeDocument/2006/relationships/image" Target="../media/image22.jpeg" /><Relationship Id="rId14" Type="http://schemas.openxmlformats.org/officeDocument/2006/relationships/image" Target="../media/image23.jpeg" /><Relationship Id="rId15" Type="http://schemas.openxmlformats.org/officeDocument/2006/relationships/image" Target="../media/image2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17</xdr:row>
      <xdr:rowOff>47625</xdr:rowOff>
    </xdr:from>
    <xdr:to>
      <xdr:col>3</xdr:col>
      <xdr:colOff>523875</xdr:colOff>
      <xdr:row>19</xdr:row>
      <xdr:rowOff>228600</xdr:rowOff>
    </xdr:to>
    <xdr:pic>
      <xdr:nvPicPr>
        <xdr:cNvPr id="1" name="Grafik 15" descr="Ohne Titel 4.jpg"/>
        <xdr:cNvPicPr preferRelativeResize="1">
          <a:picLocks noChangeAspect="1"/>
        </xdr:cNvPicPr>
      </xdr:nvPicPr>
      <xdr:blipFill>
        <a:blip r:embed="rId1"/>
        <a:stretch>
          <a:fillRect/>
        </a:stretch>
      </xdr:blipFill>
      <xdr:spPr>
        <a:xfrm>
          <a:off x="266700" y="4724400"/>
          <a:ext cx="3095625" cy="581025"/>
        </a:xfrm>
        <a:prstGeom prst="rect">
          <a:avLst/>
        </a:prstGeom>
        <a:noFill/>
        <a:ln w="9525" cmpd="sng">
          <a:noFill/>
        </a:ln>
      </xdr:spPr>
    </xdr:pic>
    <xdr:clientData/>
  </xdr:twoCellAnchor>
  <xdr:twoCellAnchor editAs="oneCell">
    <xdr:from>
      <xdr:col>8</xdr:col>
      <xdr:colOff>9525</xdr:colOff>
      <xdr:row>12</xdr:row>
      <xdr:rowOff>57150</xdr:rowOff>
    </xdr:from>
    <xdr:to>
      <xdr:col>11</xdr:col>
      <xdr:colOff>819150</xdr:colOff>
      <xdr:row>14</xdr:row>
      <xdr:rowOff>285750</xdr:rowOff>
    </xdr:to>
    <xdr:pic>
      <xdr:nvPicPr>
        <xdr:cNvPr id="2" name="Picture 2"/>
        <xdr:cNvPicPr preferRelativeResize="1">
          <a:picLocks noChangeAspect="1"/>
        </xdr:cNvPicPr>
      </xdr:nvPicPr>
      <xdr:blipFill>
        <a:blip r:embed="rId2"/>
        <a:stretch>
          <a:fillRect/>
        </a:stretch>
      </xdr:blipFill>
      <xdr:spPr>
        <a:xfrm>
          <a:off x="6086475" y="2981325"/>
          <a:ext cx="4962525" cy="847725"/>
        </a:xfrm>
        <a:prstGeom prst="rect">
          <a:avLst/>
        </a:prstGeom>
        <a:noFill/>
        <a:ln w="9525" cmpd="sng">
          <a:noFill/>
        </a:ln>
      </xdr:spPr>
    </xdr:pic>
    <xdr:clientData/>
  </xdr:twoCellAnchor>
  <xdr:twoCellAnchor>
    <xdr:from>
      <xdr:col>2</xdr:col>
      <xdr:colOff>381000</xdr:colOff>
      <xdr:row>16</xdr:row>
      <xdr:rowOff>314325</xdr:rowOff>
    </xdr:from>
    <xdr:to>
      <xdr:col>4</xdr:col>
      <xdr:colOff>28575</xdr:colOff>
      <xdr:row>18</xdr:row>
      <xdr:rowOff>152400</xdr:rowOff>
    </xdr:to>
    <xdr:sp>
      <xdr:nvSpPr>
        <xdr:cNvPr id="3" name="Ellipse 8"/>
        <xdr:cNvSpPr>
          <a:spLocks/>
        </xdr:cNvSpPr>
      </xdr:nvSpPr>
      <xdr:spPr>
        <a:xfrm>
          <a:off x="885825" y="4667250"/>
          <a:ext cx="2543175" cy="371475"/>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12</xdr:row>
      <xdr:rowOff>409575</xdr:rowOff>
    </xdr:from>
    <xdr:to>
      <xdr:col>8</xdr:col>
      <xdr:colOff>1590675</xdr:colOff>
      <xdr:row>14</xdr:row>
      <xdr:rowOff>95250</xdr:rowOff>
    </xdr:to>
    <xdr:sp>
      <xdr:nvSpPr>
        <xdr:cNvPr id="4" name="Ellipse 9"/>
        <xdr:cNvSpPr>
          <a:spLocks/>
        </xdr:cNvSpPr>
      </xdr:nvSpPr>
      <xdr:spPr>
        <a:xfrm flipH="1">
          <a:off x="6381750" y="3333750"/>
          <a:ext cx="1285875" cy="304800"/>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133350</xdr:colOff>
      <xdr:row>1</xdr:row>
      <xdr:rowOff>142875</xdr:rowOff>
    </xdr:from>
    <xdr:to>
      <xdr:col>5</xdr:col>
      <xdr:colOff>1514475</xdr:colOff>
      <xdr:row>5</xdr:row>
      <xdr:rowOff>114300</xdr:rowOff>
    </xdr:to>
    <xdr:pic>
      <xdr:nvPicPr>
        <xdr:cNvPr id="5" name="Picture 14"/>
        <xdr:cNvPicPr preferRelativeResize="1">
          <a:picLocks noChangeAspect="1"/>
        </xdr:cNvPicPr>
      </xdr:nvPicPr>
      <xdr:blipFill>
        <a:blip r:embed="rId3"/>
        <a:stretch>
          <a:fillRect/>
        </a:stretch>
      </xdr:blipFill>
      <xdr:spPr>
        <a:xfrm>
          <a:off x="3533775" y="219075"/>
          <a:ext cx="1924050" cy="1181100"/>
        </a:xfrm>
        <a:prstGeom prst="rect">
          <a:avLst/>
        </a:prstGeom>
        <a:noFill/>
        <a:ln w="1" cmpd="sng">
          <a:noFill/>
        </a:ln>
      </xdr:spPr>
    </xdr:pic>
    <xdr:clientData/>
  </xdr:twoCellAnchor>
  <xdr:twoCellAnchor editAs="oneCell">
    <xdr:from>
      <xdr:col>8</xdr:col>
      <xdr:colOff>28575</xdr:colOff>
      <xdr:row>21</xdr:row>
      <xdr:rowOff>247650</xdr:rowOff>
    </xdr:from>
    <xdr:to>
      <xdr:col>8</xdr:col>
      <xdr:colOff>2438400</xdr:colOff>
      <xdr:row>22</xdr:row>
      <xdr:rowOff>600075</xdr:rowOff>
    </xdr:to>
    <xdr:pic>
      <xdr:nvPicPr>
        <xdr:cNvPr id="6" name="Picture 6"/>
        <xdr:cNvPicPr preferRelativeResize="1">
          <a:picLocks noChangeAspect="1"/>
        </xdr:cNvPicPr>
      </xdr:nvPicPr>
      <xdr:blipFill>
        <a:blip r:embed="rId4"/>
        <a:stretch>
          <a:fillRect/>
        </a:stretch>
      </xdr:blipFill>
      <xdr:spPr>
        <a:xfrm>
          <a:off x="6105525" y="6162675"/>
          <a:ext cx="2409825" cy="619125"/>
        </a:xfrm>
        <a:prstGeom prst="rect">
          <a:avLst/>
        </a:prstGeom>
        <a:noFill/>
        <a:ln w="9525" cmpd="sng">
          <a:noFill/>
        </a:ln>
      </xdr:spPr>
    </xdr:pic>
    <xdr:clientData/>
  </xdr:twoCellAnchor>
  <xdr:twoCellAnchor editAs="oneCell">
    <xdr:from>
      <xdr:col>8</xdr:col>
      <xdr:colOff>0</xdr:colOff>
      <xdr:row>19</xdr:row>
      <xdr:rowOff>95250</xdr:rowOff>
    </xdr:from>
    <xdr:to>
      <xdr:col>8</xdr:col>
      <xdr:colOff>2219325</xdr:colOff>
      <xdr:row>20</xdr:row>
      <xdr:rowOff>314325</xdr:rowOff>
    </xdr:to>
    <xdr:pic>
      <xdr:nvPicPr>
        <xdr:cNvPr id="7" name="Picture 4"/>
        <xdr:cNvPicPr preferRelativeResize="1">
          <a:picLocks noChangeAspect="1"/>
        </xdr:cNvPicPr>
      </xdr:nvPicPr>
      <xdr:blipFill>
        <a:blip r:embed="rId5"/>
        <a:stretch>
          <a:fillRect/>
        </a:stretch>
      </xdr:blipFill>
      <xdr:spPr>
        <a:xfrm>
          <a:off x="6076950" y="5172075"/>
          <a:ext cx="2219325" cy="638175"/>
        </a:xfrm>
        <a:prstGeom prst="rect">
          <a:avLst/>
        </a:prstGeom>
        <a:noFill/>
        <a:ln w="9525" cmpd="sng">
          <a:noFill/>
        </a:ln>
      </xdr:spPr>
    </xdr:pic>
    <xdr:clientData/>
  </xdr:twoCellAnchor>
  <xdr:twoCellAnchor>
    <xdr:from>
      <xdr:col>2</xdr:col>
      <xdr:colOff>2238375</xdr:colOff>
      <xdr:row>7</xdr:row>
      <xdr:rowOff>85725</xdr:rowOff>
    </xdr:from>
    <xdr:to>
      <xdr:col>7</xdr:col>
      <xdr:colOff>28575</xdr:colOff>
      <xdr:row>9</xdr:row>
      <xdr:rowOff>104775</xdr:rowOff>
    </xdr:to>
    <xdr:sp>
      <xdr:nvSpPr>
        <xdr:cNvPr id="8" name="Pfeil nach rechts 16"/>
        <xdr:cNvSpPr>
          <a:spLocks/>
        </xdr:cNvSpPr>
      </xdr:nvSpPr>
      <xdr:spPr>
        <a:xfrm>
          <a:off x="2743200" y="1695450"/>
          <a:ext cx="3181350" cy="419100"/>
        </a:xfrm>
        <a:prstGeom prst="rightArrow">
          <a:avLst>
            <a:gd name="adj" fmla="val 43412"/>
          </a:avLst>
        </a:prstGeom>
        <a:solidFill>
          <a:srgbClr val="C0504D"/>
        </a:solidFill>
        <a:ln w="25400" cmpd="sng">
          <a:solidFill>
            <a:srgbClr val="8C3836"/>
          </a:solidFill>
          <a:headEnd type="none"/>
          <a:tailEnd type="none"/>
        </a:ln>
      </xdr:spPr>
      <xdr:txBody>
        <a:bodyPr vertOverflow="clip" wrap="square" anchor="ctr"/>
        <a:p>
          <a:pPr algn="ctr">
            <a:defRPr/>
          </a:pPr>
          <a:r>
            <a:rPr lang="en-US" cap="none" sz="1100" b="0" i="0" u="none" baseline="0">
              <a:solidFill>
                <a:srgbClr val="C0C0C0"/>
              </a:solidFill>
            </a:rPr>
            <a:t>Wählen Sie die</a:t>
          </a:r>
          <a:r>
            <a:rPr lang="en-US" cap="none" sz="1100" b="0" i="0" u="none" baseline="0">
              <a:solidFill>
                <a:srgbClr val="C0C0C0"/>
              </a:solidFill>
            </a:rPr>
            <a:t> Sprache / Sélectionnez la langue:</a:t>
          </a:r>
        </a:p>
      </xdr:txBody>
    </xdr:sp>
    <xdr:clientData/>
  </xdr:twoCellAnchor>
  <xdr:twoCellAnchor editAs="oneCell">
    <xdr:from>
      <xdr:col>1</xdr:col>
      <xdr:colOff>28575</xdr:colOff>
      <xdr:row>14</xdr:row>
      <xdr:rowOff>409575</xdr:rowOff>
    </xdr:from>
    <xdr:to>
      <xdr:col>6</xdr:col>
      <xdr:colOff>66675</xdr:colOff>
      <xdr:row>15</xdr:row>
      <xdr:rowOff>171450</xdr:rowOff>
    </xdr:to>
    <xdr:pic>
      <xdr:nvPicPr>
        <xdr:cNvPr id="9" name="Grafik 13" descr="Ohne Titel 2.jpg"/>
        <xdr:cNvPicPr preferRelativeResize="1">
          <a:picLocks noChangeAspect="1"/>
        </xdr:cNvPicPr>
      </xdr:nvPicPr>
      <xdr:blipFill>
        <a:blip r:embed="rId6"/>
        <a:stretch>
          <a:fillRect/>
        </a:stretch>
      </xdr:blipFill>
      <xdr:spPr>
        <a:xfrm>
          <a:off x="228600" y="3952875"/>
          <a:ext cx="5553075" cy="200025"/>
        </a:xfrm>
        <a:prstGeom prst="rect">
          <a:avLst/>
        </a:prstGeom>
        <a:noFill/>
        <a:ln w="9525" cmpd="sng">
          <a:noFill/>
        </a:ln>
      </xdr:spPr>
    </xdr:pic>
    <xdr:clientData/>
  </xdr:twoCellAnchor>
  <xdr:twoCellAnchor>
    <xdr:from>
      <xdr:col>2</xdr:col>
      <xdr:colOff>1400175</xdr:colOff>
      <xdr:row>14</xdr:row>
      <xdr:rowOff>352425</xdr:rowOff>
    </xdr:from>
    <xdr:to>
      <xdr:col>3</xdr:col>
      <xdr:colOff>190500</xdr:colOff>
      <xdr:row>15</xdr:row>
      <xdr:rowOff>200025</xdr:rowOff>
    </xdr:to>
    <xdr:sp>
      <xdr:nvSpPr>
        <xdr:cNvPr id="10" name="Ellipse 7"/>
        <xdr:cNvSpPr>
          <a:spLocks/>
        </xdr:cNvSpPr>
      </xdr:nvSpPr>
      <xdr:spPr>
        <a:xfrm>
          <a:off x="1905000" y="3895725"/>
          <a:ext cx="1123950" cy="285750"/>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190500</xdr:colOff>
      <xdr:row>22</xdr:row>
      <xdr:rowOff>400050</xdr:rowOff>
    </xdr:from>
    <xdr:to>
      <xdr:col>6</xdr:col>
      <xdr:colOff>38100</xdr:colOff>
      <xdr:row>22</xdr:row>
      <xdr:rowOff>600075</xdr:rowOff>
    </xdr:to>
    <xdr:pic>
      <xdr:nvPicPr>
        <xdr:cNvPr id="11" name="Grafik 14" descr="Ohne Titel 2.jpg"/>
        <xdr:cNvPicPr preferRelativeResize="1">
          <a:picLocks noChangeAspect="1"/>
        </xdr:cNvPicPr>
      </xdr:nvPicPr>
      <xdr:blipFill>
        <a:blip r:embed="rId6"/>
        <a:stretch>
          <a:fillRect/>
        </a:stretch>
      </xdr:blipFill>
      <xdr:spPr>
        <a:xfrm>
          <a:off x="190500" y="6581775"/>
          <a:ext cx="5562600" cy="200025"/>
        </a:xfrm>
        <a:prstGeom prst="rect">
          <a:avLst/>
        </a:prstGeom>
        <a:noFill/>
        <a:ln w="9525" cmpd="sng">
          <a:noFill/>
        </a:ln>
      </xdr:spPr>
    </xdr:pic>
    <xdr:clientData/>
  </xdr:twoCellAnchor>
  <xdr:twoCellAnchor>
    <xdr:from>
      <xdr:col>5</xdr:col>
      <xdr:colOff>466725</xdr:colOff>
      <xdr:row>22</xdr:row>
      <xdr:rowOff>352425</xdr:rowOff>
    </xdr:from>
    <xdr:to>
      <xdr:col>6</xdr:col>
      <xdr:colOff>85725</xdr:colOff>
      <xdr:row>23</xdr:row>
      <xdr:rowOff>47625</xdr:rowOff>
    </xdr:to>
    <xdr:sp>
      <xdr:nvSpPr>
        <xdr:cNvPr id="12" name="Ellipse 18"/>
        <xdr:cNvSpPr>
          <a:spLocks/>
        </xdr:cNvSpPr>
      </xdr:nvSpPr>
      <xdr:spPr>
        <a:xfrm>
          <a:off x="4410075" y="6534150"/>
          <a:ext cx="1390650" cy="323850"/>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180975</xdr:colOff>
      <xdr:row>20</xdr:row>
      <xdr:rowOff>371475</xdr:rowOff>
    </xdr:from>
    <xdr:to>
      <xdr:col>6</xdr:col>
      <xdr:colOff>28575</xdr:colOff>
      <xdr:row>21</xdr:row>
      <xdr:rowOff>142875</xdr:rowOff>
    </xdr:to>
    <xdr:pic>
      <xdr:nvPicPr>
        <xdr:cNvPr id="13" name="Grafik 19" descr="Ohne Titel 2.jpg"/>
        <xdr:cNvPicPr preferRelativeResize="1">
          <a:picLocks noChangeAspect="1"/>
        </xdr:cNvPicPr>
      </xdr:nvPicPr>
      <xdr:blipFill>
        <a:blip r:embed="rId6"/>
        <a:stretch>
          <a:fillRect/>
        </a:stretch>
      </xdr:blipFill>
      <xdr:spPr>
        <a:xfrm>
          <a:off x="180975" y="5867400"/>
          <a:ext cx="5562600" cy="190500"/>
        </a:xfrm>
        <a:prstGeom prst="rect">
          <a:avLst/>
        </a:prstGeom>
        <a:noFill/>
        <a:ln w="9525" cmpd="sng">
          <a:noFill/>
        </a:ln>
      </xdr:spPr>
    </xdr:pic>
    <xdr:clientData/>
  </xdr:twoCellAnchor>
  <xdr:twoCellAnchor>
    <xdr:from>
      <xdr:col>2</xdr:col>
      <xdr:colOff>2209800</xdr:colOff>
      <xdr:row>20</xdr:row>
      <xdr:rowOff>295275</xdr:rowOff>
    </xdr:from>
    <xdr:to>
      <xdr:col>5</xdr:col>
      <xdr:colOff>161925</xdr:colOff>
      <xdr:row>21</xdr:row>
      <xdr:rowOff>190500</xdr:rowOff>
    </xdr:to>
    <xdr:sp>
      <xdr:nvSpPr>
        <xdr:cNvPr id="14" name="Ellipse 20"/>
        <xdr:cNvSpPr>
          <a:spLocks/>
        </xdr:cNvSpPr>
      </xdr:nvSpPr>
      <xdr:spPr>
        <a:xfrm>
          <a:off x="2714625" y="5791200"/>
          <a:ext cx="1390650" cy="314325"/>
        </a:xfrm>
        <a:prstGeom prst="ellipse">
          <a:avLst/>
        </a:prstGeom>
        <a:noFill/>
        <a:ln w="25400" cmpd="sng">
          <a:solidFill>
            <a:srgbClr val="8C383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438150</xdr:colOff>
      <xdr:row>7</xdr:row>
      <xdr:rowOff>19050</xdr:rowOff>
    </xdr:from>
    <xdr:to>
      <xdr:col>17</xdr:col>
      <xdr:colOff>447675</xdr:colOff>
      <xdr:row>10</xdr:row>
      <xdr:rowOff>0</xdr:rowOff>
    </xdr:to>
    <xdr:pic>
      <xdr:nvPicPr>
        <xdr:cNvPr id="1" name="Picture 21" descr="C:\Users\Zimi\AppData\Local\Microsoft\Windows\Temporary Internet Files\Content.IE5\M0NMGDOW\MC900346317[1].wmf"/>
        <xdr:cNvPicPr preferRelativeResize="1">
          <a:picLocks noChangeAspect="1"/>
        </xdr:cNvPicPr>
      </xdr:nvPicPr>
      <xdr:blipFill>
        <a:blip r:embed="rId1"/>
        <a:stretch>
          <a:fillRect/>
        </a:stretch>
      </xdr:blipFill>
      <xdr:spPr>
        <a:xfrm>
          <a:off x="5867400" y="1209675"/>
          <a:ext cx="5905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1485900</xdr:colOff>
      <xdr:row>32</xdr:row>
      <xdr:rowOff>104775</xdr:rowOff>
    </xdr:from>
    <xdr:to>
      <xdr:col>13</xdr:col>
      <xdr:colOff>2819400</xdr:colOff>
      <xdr:row>37</xdr:row>
      <xdr:rowOff>95250</xdr:rowOff>
    </xdr:to>
    <xdr:pic>
      <xdr:nvPicPr>
        <xdr:cNvPr id="1" name="Picture 1"/>
        <xdr:cNvPicPr preferRelativeResize="1">
          <a:picLocks noChangeAspect="1"/>
        </xdr:cNvPicPr>
      </xdr:nvPicPr>
      <xdr:blipFill>
        <a:blip r:embed="rId1"/>
        <a:stretch>
          <a:fillRect/>
        </a:stretch>
      </xdr:blipFill>
      <xdr:spPr>
        <a:xfrm>
          <a:off x="8201025" y="4619625"/>
          <a:ext cx="1333500" cy="7048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56</xdr:row>
      <xdr:rowOff>66675</xdr:rowOff>
    </xdr:from>
    <xdr:to>
      <xdr:col>2</xdr:col>
      <xdr:colOff>962025</xdr:colOff>
      <xdr:row>56</xdr:row>
      <xdr:rowOff>1019175</xdr:rowOff>
    </xdr:to>
    <xdr:pic>
      <xdr:nvPicPr>
        <xdr:cNvPr id="1" name="Image 1" descr="aarau.jpg"/>
        <xdr:cNvPicPr preferRelativeResize="1">
          <a:picLocks noChangeAspect="1"/>
        </xdr:cNvPicPr>
      </xdr:nvPicPr>
      <xdr:blipFill>
        <a:blip r:embed="rId1"/>
        <a:stretch>
          <a:fillRect/>
        </a:stretch>
      </xdr:blipFill>
      <xdr:spPr>
        <a:xfrm>
          <a:off x="2409825" y="9382125"/>
          <a:ext cx="762000" cy="952500"/>
        </a:xfrm>
        <a:prstGeom prst="rect">
          <a:avLst/>
        </a:prstGeom>
        <a:noFill/>
        <a:ln w="9525" cmpd="sng">
          <a:noFill/>
        </a:ln>
      </xdr:spPr>
    </xdr:pic>
    <xdr:clientData/>
  </xdr:twoCellAnchor>
  <xdr:twoCellAnchor editAs="oneCell">
    <xdr:from>
      <xdr:col>2</xdr:col>
      <xdr:colOff>76200</xdr:colOff>
      <xdr:row>64</xdr:row>
      <xdr:rowOff>390525</xdr:rowOff>
    </xdr:from>
    <xdr:to>
      <xdr:col>2</xdr:col>
      <xdr:colOff>1028700</xdr:colOff>
      <xdr:row>64</xdr:row>
      <xdr:rowOff>695325</xdr:rowOff>
    </xdr:to>
    <xdr:pic>
      <xdr:nvPicPr>
        <xdr:cNvPr id="2" name="Image 2" descr="alb.jpg"/>
        <xdr:cNvPicPr preferRelativeResize="1">
          <a:picLocks noChangeAspect="1"/>
        </xdr:cNvPicPr>
      </xdr:nvPicPr>
      <xdr:blipFill>
        <a:blip r:embed="rId2"/>
        <a:stretch>
          <a:fillRect/>
        </a:stretch>
      </xdr:blipFill>
      <xdr:spPr>
        <a:xfrm>
          <a:off x="2286000" y="18011775"/>
          <a:ext cx="952500" cy="304800"/>
        </a:xfrm>
        <a:prstGeom prst="rect">
          <a:avLst/>
        </a:prstGeom>
        <a:noFill/>
        <a:ln w="9525" cmpd="sng">
          <a:noFill/>
        </a:ln>
      </xdr:spPr>
    </xdr:pic>
    <xdr:clientData/>
  </xdr:twoCellAnchor>
  <xdr:twoCellAnchor editAs="oneCell">
    <xdr:from>
      <xdr:col>2</xdr:col>
      <xdr:colOff>95250</xdr:colOff>
      <xdr:row>58</xdr:row>
      <xdr:rowOff>28575</xdr:rowOff>
    </xdr:from>
    <xdr:to>
      <xdr:col>2</xdr:col>
      <xdr:colOff>1095375</xdr:colOff>
      <xdr:row>58</xdr:row>
      <xdr:rowOff>1028700</xdr:rowOff>
    </xdr:to>
    <xdr:pic>
      <xdr:nvPicPr>
        <xdr:cNvPr id="3" name="Image 3" descr="bern.jpg"/>
        <xdr:cNvPicPr preferRelativeResize="1">
          <a:picLocks noChangeAspect="1"/>
        </xdr:cNvPicPr>
      </xdr:nvPicPr>
      <xdr:blipFill>
        <a:blip r:embed="rId3"/>
        <a:stretch>
          <a:fillRect/>
        </a:stretch>
      </xdr:blipFill>
      <xdr:spPr>
        <a:xfrm>
          <a:off x="2305050" y="11420475"/>
          <a:ext cx="1000125" cy="1000125"/>
        </a:xfrm>
        <a:prstGeom prst="rect">
          <a:avLst/>
        </a:prstGeom>
        <a:noFill/>
        <a:ln w="9525" cmpd="sng">
          <a:noFill/>
        </a:ln>
      </xdr:spPr>
    </xdr:pic>
    <xdr:clientData/>
  </xdr:twoCellAnchor>
  <xdr:twoCellAnchor editAs="oneCell">
    <xdr:from>
      <xdr:col>2</xdr:col>
      <xdr:colOff>104775</xdr:colOff>
      <xdr:row>59</xdr:row>
      <xdr:rowOff>47625</xdr:rowOff>
    </xdr:from>
    <xdr:to>
      <xdr:col>2</xdr:col>
      <xdr:colOff>1057275</xdr:colOff>
      <xdr:row>59</xdr:row>
      <xdr:rowOff>1000125</xdr:rowOff>
    </xdr:to>
    <xdr:pic>
      <xdr:nvPicPr>
        <xdr:cNvPr id="4" name="Image 4" descr="biel.jpg"/>
        <xdr:cNvPicPr preferRelativeResize="1">
          <a:picLocks noChangeAspect="1"/>
        </xdr:cNvPicPr>
      </xdr:nvPicPr>
      <xdr:blipFill>
        <a:blip r:embed="rId4"/>
        <a:stretch>
          <a:fillRect/>
        </a:stretch>
      </xdr:blipFill>
      <xdr:spPr>
        <a:xfrm>
          <a:off x="2314575" y="12477750"/>
          <a:ext cx="952500" cy="952500"/>
        </a:xfrm>
        <a:prstGeom prst="rect">
          <a:avLst/>
        </a:prstGeom>
        <a:noFill/>
        <a:ln w="9525" cmpd="sng">
          <a:noFill/>
        </a:ln>
      </xdr:spPr>
    </xdr:pic>
    <xdr:clientData/>
  </xdr:twoCellAnchor>
  <xdr:twoCellAnchor editAs="oneCell">
    <xdr:from>
      <xdr:col>2</xdr:col>
      <xdr:colOff>123825</xdr:colOff>
      <xdr:row>57</xdr:row>
      <xdr:rowOff>19050</xdr:rowOff>
    </xdr:from>
    <xdr:to>
      <xdr:col>2</xdr:col>
      <xdr:colOff>1076325</xdr:colOff>
      <xdr:row>57</xdr:row>
      <xdr:rowOff>971550</xdr:rowOff>
    </xdr:to>
    <xdr:pic>
      <xdr:nvPicPr>
        <xdr:cNvPr id="5" name="Image 5" descr="basel.jpg"/>
        <xdr:cNvPicPr preferRelativeResize="1">
          <a:picLocks noChangeAspect="1"/>
        </xdr:cNvPicPr>
      </xdr:nvPicPr>
      <xdr:blipFill>
        <a:blip r:embed="rId5"/>
        <a:stretch>
          <a:fillRect/>
        </a:stretch>
      </xdr:blipFill>
      <xdr:spPr>
        <a:xfrm>
          <a:off x="2333625" y="10372725"/>
          <a:ext cx="952500" cy="952500"/>
        </a:xfrm>
        <a:prstGeom prst="rect">
          <a:avLst/>
        </a:prstGeom>
        <a:noFill/>
        <a:ln w="9525" cmpd="sng">
          <a:noFill/>
        </a:ln>
      </xdr:spPr>
    </xdr:pic>
    <xdr:clientData/>
  </xdr:twoCellAnchor>
  <xdr:twoCellAnchor editAs="oneCell">
    <xdr:from>
      <xdr:col>2</xdr:col>
      <xdr:colOff>161925</xdr:colOff>
      <xdr:row>61</xdr:row>
      <xdr:rowOff>28575</xdr:rowOff>
    </xdr:from>
    <xdr:to>
      <xdr:col>2</xdr:col>
      <xdr:colOff>942975</xdr:colOff>
      <xdr:row>61</xdr:row>
      <xdr:rowOff>1019175</xdr:rowOff>
    </xdr:to>
    <xdr:pic>
      <xdr:nvPicPr>
        <xdr:cNvPr id="6" name="Image 6" descr="cbvn.jpg"/>
        <xdr:cNvPicPr preferRelativeResize="1">
          <a:picLocks noChangeAspect="1"/>
        </xdr:cNvPicPr>
      </xdr:nvPicPr>
      <xdr:blipFill>
        <a:blip r:embed="rId6"/>
        <a:stretch>
          <a:fillRect/>
        </a:stretch>
      </xdr:blipFill>
      <xdr:spPr>
        <a:xfrm>
          <a:off x="2371725" y="14535150"/>
          <a:ext cx="781050" cy="990600"/>
        </a:xfrm>
        <a:prstGeom prst="rect">
          <a:avLst/>
        </a:prstGeom>
        <a:noFill/>
        <a:ln w="9525" cmpd="sng">
          <a:noFill/>
        </a:ln>
      </xdr:spPr>
    </xdr:pic>
    <xdr:clientData/>
  </xdr:twoCellAnchor>
  <xdr:twoCellAnchor editAs="oneCell">
    <xdr:from>
      <xdr:col>2</xdr:col>
      <xdr:colOff>95250</xdr:colOff>
      <xdr:row>62</xdr:row>
      <xdr:rowOff>66675</xdr:rowOff>
    </xdr:from>
    <xdr:to>
      <xdr:col>2</xdr:col>
      <xdr:colOff>1047750</xdr:colOff>
      <xdr:row>62</xdr:row>
      <xdr:rowOff>1019175</xdr:rowOff>
    </xdr:to>
    <xdr:pic>
      <xdr:nvPicPr>
        <xdr:cNvPr id="7" name="Image 7" descr="fribourg.jpg"/>
        <xdr:cNvPicPr preferRelativeResize="1">
          <a:picLocks noChangeAspect="1"/>
        </xdr:cNvPicPr>
      </xdr:nvPicPr>
      <xdr:blipFill>
        <a:blip r:embed="rId7"/>
        <a:stretch>
          <a:fillRect/>
        </a:stretch>
      </xdr:blipFill>
      <xdr:spPr>
        <a:xfrm>
          <a:off x="2305050" y="15611475"/>
          <a:ext cx="952500" cy="952500"/>
        </a:xfrm>
        <a:prstGeom prst="rect">
          <a:avLst/>
        </a:prstGeom>
        <a:noFill/>
        <a:ln w="9525" cmpd="sng">
          <a:noFill/>
        </a:ln>
      </xdr:spPr>
    </xdr:pic>
    <xdr:clientData/>
  </xdr:twoCellAnchor>
  <xdr:twoCellAnchor editAs="oneCell">
    <xdr:from>
      <xdr:col>2</xdr:col>
      <xdr:colOff>85725</xdr:colOff>
      <xdr:row>63</xdr:row>
      <xdr:rowOff>66675</xdr:rowOff>
    </xdr:from>
    <xdr:to>
      <xdr:col>2</xdr:col>
      <xdr:colOff>1038225</xdr:colOff>
      <xdr:row>63</xdr:row>
      <xdr:rowOff>1019175</xdr:rowOff>
    </xdr:to>
    <xdr:pic>
      <xdr:nvPicPr>
        <xdr:cNvPr id="8" name="Image 8" descr="cgab.jpg"/>
        <xdr:cNvPicPr preferRelativeResize="1">
          <a:picLocks noChangeAspect="1"/>
        </xdr:cNvPicPr>
      </xdr:nvPicPr>
      <xdr:blipFill>
        <a:blip r:embed="rId8"/>
        <a:stretch>
          <a:fillRect/>
        </a:stretch>
      </xdr:blipFill>
      <xdr:spPr>
        <a:xfrm>
          <a:off x="2295525" y="16649700"/>
          <a:ext cx="952500" cy="952500"/>
        </a:xfrm>
        <a:prstGeom prst="rect">
          <a:avLst/>
        </a:prstGeom>
        <a:noFill/>
        <a:ln w="9525" cmpd="sng">
          <a:noFill/>
        </a:ln>
      </xdr:spPr>
    </xdr:pic>
    <xdr:clientData/>
  </xdr:twoCellAnchor>
  <xdr:twoCellAnchor editAs="oneCell">
    <xdr:from>
      <xdr:col>2</xdr:col>
      <xdr:colOff>104775</xdr:colOff>
      <xdr:row>60</xdr:row>
      <xdr:rowOff>200025</xdr:rowOff>
    </xdr:from>
    <xdr:to>
      <xdr:col>2</xdr:col>
      <xdr:colOff>1057275</xdr:colOff>
      <xdr:row>60</xdr:row>
      <xdr:rowOff>828675</xdr:rowOff>
    </xdr:to>
    <xdr:pic>
      <xdr:nvPicPr>
        <xdr:cNvPr id="9" name="Image 9" descr="chaux.jpg"/>
        <xdr:cNvPicPr preferRelativeResize="1">
          <a:picLocks noChangeAspect="1"/>
        </xdr:cNvPicPr>
      </xdr:nvPicPr>
      <xdr:blipFill>
        <a:blip r:embed="rId9"/>
        <a:stretch>
          <a:fillRect/>
        </a:stretch>
      </xdr:blipFill>
      <xdr:spPr>
        <a:xfrm>
          <a:off x="2314575" y="13668375"/>
          <a:ext cx="952500" cy="628650"/>
        </a:xfrm>
        <a:prstGeom prst="rect">
          <a:avLst/>
        </a:prstGeom>
        <a:noFill/>
        <a:ln w="9525" cmpd="sng">
          <a:noFill/>
        </a:ln>
      </xdr:spPr>
    </xdr:pic>
    <xdr:clientData/>
  </xdr:twoCellAnchor>
  <xdr:twoCellAnchor editAs="oneCell">
    <xdr:from>
      <xdr:col>2</xdr:col>
      <xdr:colOff>133350</xdr:colOff>
      <xdr:row>65</xdr:row>
      <xdr:rowOff>76200</xdr:rowOff>
    </xdr:from>
    <xdr:to>
      <xdr:col>2</xdr:col>
      <xdr:colOff>895350</xdr:colOff>
      <xdr:row>65</xdr:row>
      <xdr:rowOff>990600</xdr:rowOff>
    </xdr:to>
    <xdr:pic>
      <xdr:nvPicPr>
        <xdr:cNvPr id="10" name="Image 10" descr="luzern.jpg"/>
        <xdr:cNvPicPr preferRelativeResize="1">
          <a:picLocks noChangeAspect="1"/>
        </xdr:cNvPicPr>
      </xdr:nvPicPr>
      <xdr:blipFill>
        <a:blip r:embed="rId10"/>
        <a:stretch>
          <a:fillRect/>
        </a:stretch>
      </xdr:blipFill>
      <xdr:spPr>
        <a:xfrm>
          <a:off x="2343150" y="18735675"/>
          <a:ext cx="762000" cy="914400"/>
        </a:xfrm>
        <a:prstGeom prst="rect">
          <a:avLst/>
        </a:prstGeom>
        <a:noFill/>
        <a:ln w="9525" cmpd="sng">
          <a:noFill/>
        </a:ln>
      </xdr:spPr>
    </xdr:pic>
    <xdr:clientData/>
  </xdr:twoCellAnchor>
  <xdr:twoCellAnchor editAs="oneCell">
    <xdr:from>
      <xdr:col>2</xdr:col>
      <xdr:colOff>28575</xdr:colOff>
      <xdr:row>66</xdr:row>
      <xdr:rowOff>152400</xdr:rowOff>
    </xdr:from>
    <xdr:to>
      <xdr:col>2</xdr:col>
      <xdr:colOff>1143000</xdr:colOff>
      <xdr:row>66</xdr:row>
      <xdr:rowOff>904875</xdr:rowOff>
    </xdr:to>
    <xdr:pic>
      <xdr:nvPicPr>
        <xdr:cNvPr id="11" name="Image 11" descr="sierre.jpg"/>
        <xdr:cNvPicPr preferRelativeResize="1">
          <a:picLocks noChangeAspect="1"/>
        </xdr:cNvPicPr>
      </xdr:nvPicPr>
      <xdr:blipFill>
        <a:blip r:embed="rId11"/>
        <a:stretch>
          <a:fillRect/>
        </a:stretch>
      </xdr:blipFill>
      <xdr:spPr>
        <a:xfrm>
          <a:off x="2238375" y="19850100"/>
          <a:ext cx="1114425" cy="752475"/>
        </a:xfrm>
        <a:prstGeom prst="rect">
          <a:avLst/>
        </a:prstGeom>
        <a:noFill/>
        <a:ln w="9525" cmpd="sng">
          <a:noFill/>
        </a:ln>
      </xdr:spPr>
    </xdr:pic>
    <xdr:clientData/>
  </xdr:twoCellAnchor>
  <xdr:twoCellAnchor editAs="oneCell">
    <xdr:from>
      <xdr:col>2</xdr:col>
      <xdr:colOff>66675</xdr:colOff>
      <xdr:row>67</xdr:row>
      <xdr:rowOff>38100</xdr:rowOff>
    </xdr:from>
    <xdr:to>
      <xdr:col>2</xdr:col>
      <xdr:colOff>1019175</xdr:colOff>
      <xdr:row>67</xdr:row>
      <xdr:rowOff>990600</xdr:rowOff>
    </xdr:to>
    <xdr:pic>
      <xdr:nvPicPr>
        <xdr:cNvPr id="12" name="Image 12" descr="stgallen.jpg"/>
        <xdr:cNvPicPr preferRelativeResize="1">
          <a:picLocks noChangeAspect="1"/>
        </xdr:cNvPicPr>
      </xdr:nvPicPr>
      <xdr:blipFill>
        <a:blip r:embed="rId12"/>
        <a:stretch>
          <a:fillRect/>
        </a:stretch>
      </xdr:blipFill>
      <xdr:spPr>
        <a:xfrm>
          <a:off x="2276475" y="20774025"/>
          <a:ext cx="952500" cy="952500"/>
        </a:xfrm>
        <a:prstGeom prst="rect">
          <a:avLst/>
        </a:prstGeom>
        <a:noFill/>
        <a:ln w="9525" cmpd="sng">
          <a:noFill/>
        </a:ln>
      </xdr:spPr>
    </xdr:pic>
    <xdr:clientData/>
  </xdr:twoCellAnchor>
  <xdr:twoCellAnchor editAs="oneCell">
    <xdr:from>
      <xdr:col>2</xdr:col>
      <xdr:colOff>104775</xdr:colOff>
      <xdr:row>69</xdr:row>
      <xdr:rowOff>57150</xdr:rowOff>
    </xdr:from>
    <xdr:to>
      <xdr:col>2</xdr:col>
      <xdr:colOff>904875</xdr:colOff>
      <xdr:row>69</xdr:row>
      <xdr:rowOff>1009650</xdr:rowOff>
    </xdr:to>
    <xdr:pic>
      <xdr:nvPicPr>
        <xdr:cNvPr id="13" name="Image 13" descr="winterthur.jpg"/>
        <xdr:cNvPicPr preferRelativeResize="1">
          <a:picLocks noChangeAspect="1"/>
        </xdr:cNvPicPr>
      </xdr:nvPicPr>
      <xdr:blipFill>
        <a:blip r:embed="rId13"/>
        <a:stretch>
          <a:fillRect/>
        </a:stretch>
      </xdr:blipFill>
      <xdr:spPr>
        <a:xfrm>
          <a:off x="2314575" y="22869525"/>
          <a:ext cx="800100" cy="952500"/>
        </a:xfrm>
        <a:prstGeom prst="rect">
          <a:avLst/>
        </a:prstGeom>
        <a:noFill/>
        <a:ln w="9525" cmpd="sng">
          <a:noFill/>
        </a:ln>
      </xdr:spPr>
    </xdr:pic>
    <xdr:clientData/>
  </xdr:twoCellAnchor>
  <xdr:twoCellAnchor editAs="oneCell">
    <xdr:from>
      <xdr:col>2</xdr:col>
      <xdr:colOff>0</xdr:colOff>
      <xdr:row>70</xdr:row>
      <xdr:rowOff>295275</xdr:rowOff>
    </xdr:from>
    <xdr:to>
      <xdr:col>2</xdr:col>
      <xdr:colOff>1190625</xdr:colOff>
      <xdr:row>70</xdr:row>
      <xdr:rowOff>876300</xdr:rowOff>
    </xdr:to>
    <xdr:pic>
      <xdr:nvPicPr>
        <xdr:cNvPr id="14" name="Image 14" descr="yverdon.jpg"/>
        <xdr:cNvPicPr preferRelativeResize="1">
          <a:picLocks noChangeAspect="1"/>
        </xdr:cNvPicPr>
      </xdr:nvPicPr>
      <xdr:blipFill>
        <a:blip r:embed="rId14"/>
        <a:stretch>
          <a:fillRect/>
        </a:stretch>
      </xdr:blipFill>
      <xdr:spPr>
        <a:xfrm>
          <a:off x="2209800" y="24145875"/>
          <a:ext cx="1190625" cy="581025"/>
        </a:xfrm>
        <a:prstGeom prst="rect">
          <a:avLst/>
        </a:prstGeom>
        <a:noFill/>
        <a:ln w="9525" cmpd="sng">
          <a:noFill/>
        </a:ln>
      </xdr:spPr>
    </xdr:pic>
    <xdr:clientData/>
  </xdr:twoCellAnchor>
  <xdr:twoCellAnchor editAs="oneCell">
    <xdr:from>
      <xdr:col>2</xdr:col>
      <xdr:colOff>95250</xdr:colOff>
      <xdr:row>71</xdr:row>
      <xdr:rowOff>361950</xdr:rowOff>
    </xdr:from>
    <xdr:to>
      <xdr:col>2</xdr:col>
      <xdr:colOff>1085850</xdr:colOff>
      <xdr:row>71</xdr:row>
      <xdr:rowOff>723900</xdr:rowOff>
    </xdr:to>
    <xdr:pic>
      <xdr:nvPicPr>
        <xdr:cNvPr id="15" name="Image 15" descr="zuerich.jpg"/>
        <xdr:cNvPicPr preferRelativeResize="1">
          <a:picLocks noChangeAspect="1"/>
        </xdr:cNvPicPr>
      </xdr:nvPicPr>
      <xdr:blipFill>
        <a:blip r:embed="rId15"/>
        <a:stretch>
          <a:fillRect/>
        </a:stretch>
      </xdr:blipFill>
      <xdr:spPr>
        <a:xfrm>
          <a:off x="2305050" y="25250775"/>
          <a:ext cx="990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2:L25"/>
  <sheetViews>
    <sheetView showGridLines="0" showRowColHeaders="0" tabSelected="1" zoomScalePageLayoutView="0" workbookViewId="0" topLeftCell="A1">
      <selection activeCell="I9" sqref="I9"/>
    </sheetView>
  </sheetViews>
  <sheetFormatPr defaultColWidth="11.421875" defaultRowHeight="12.75"/>
  <cols>
    <col min="1" max="1" width="3.00390625" style="105" customWidth="1"/>
    <col min="2" max="2" width="4.57421875" style="105" customWidth="1"/>
    <col min="3" max="3" width="35.00390625" style="105" customWidth="1"/>
    <col min="4" max="4" width="8.421875" style="105" customWidth="1"/>
    <col min="5" max="5" width="8.140625" style="105" customWidth="1"/>
    <col min="6" max="6" width="26.57421875" style="105" customWidth="1"/>
    <col min="7" max="8" width="2.7109375" style="105" customWidth="1"/>
    <col min="9" max="9" width="40.8515625" style="105" customWidth="1"/>
    <col min="10" max="10" width="10.00390625" style="105" customWidth="1"/>
    <col min="11" max="11" width="11.421875" style="105" customWidth="1"/>
    <col min="12" max="12" width="13.421875" style="105" customWidth="1"/>
    <col min="13" max="13" width="11.421875" style="105" customWidth="1"/>
    <col min="14" max="16384" width="11.421875" style="105" customWidth="1"/>
  </cols>
  <sheetData>
    <row r="1" ht="6" customHeight="1" thickBot="1"/>
    <row r="2" spans="1:11" ht="37.5" customHeight="1">
      <c r="A2" s="63"/>
      <c r="B2" s="102"/>
      <c r="C2" s="63"/>
      <c r="D2" s="63"/>
      <c r="E2" s="426"/>
      <c r="F2" s="146"/>
      <c r="G2" s="721"/>
      <c r="H2" s="721"/>
      <c r="I2" s="722"/>
      <c r="J2" s="63"/>
      <c r="K2" s="63"/>
    </row>
    <row r="3" spans="1:11" ht="27.75" customHeight="1">
      <c r="A3" s="63"/>
      <c r="B3" s="102"/>
      <c r="C3" s="63"/>
      <c r="D3" s="63"/>
      <c r="E3" s="427"/>
      <c r="F3" s="422"/>
      <c r="G3" s="425" t="s">
        <v>222</v>
      </c>
      <c r="H3" s="423"/>
      <c r="I3" s="424"/>
      <c r="J3" s="63"/>
      <c r="K3" s="63"/>
    </row>
    <row r="4" spans="1:11" ht="15" customHeight="1">
      <c r="A4" s="63"/>
      <c r="B4" s="135"/>
      <c r="C4" s="63"/>
      <c r="D4" s="63"/>
      <c r="E4" s="428"/>
      <c r="F4" s="145"/>
      <c r="G4" s="723" t="s">
        <v>219</v>
      </c>
      <c r="H4" s="723"/>
      <c r="I4" s="724"/>
      <c r="J4" s="63"/>
      <c r="K4" s="63"/>
    </row>
    <row r="5" spans="1:11" ht="15" customHeight="1">
      <c r="A5" s="63"/>
      <c r="B5" s="135"/>
      <c r="C5" s="63"/>
      <c r="D5" s="63"/>
      <c r="E5" s="428"/>
      <c r="F5" s="145"/>
      <c r="G5" s="723" t="s">
        <v>221</v>
      </c>
      <c r="H5" s="723"/>
      <c r="I5" s="724"/>
      <c r="J5" s="63"/>
      <c r="K5" s="63"/>
    </row>
    <row r="6" spans="1:11" ht="19.5" customHeight="1" thickBot="1">
      <c r="A6" s="63"/>
      <c r="B6" s="135"/>
      <c r="C6" s="63"/>
      <c r="D6" s="63"/>
      <c r="E6" s="429"/>
      <c r="F6" s="147"/>
      <c r="G6" s="725" t="s">
        <v>220</v>
      </c>
      <c r="H6" s="725"/>
      <c r="I6" s="726"/>
      <c r="J6" s="63"/>
      <c r="K6" s="63"/>
    </row>
    <row r="7" spans="1:12" ht="6" customHeight="1">
      <c r="A7" s="63"/>
      <c r="B7" s="139"/>
      <c r="C7" s="64"/>
      <c r="D7" s="64"/>
      <c r="E7" s="140"/>
      <c r="F7" s="139"/>
      <c r="G7" s="139"/>
      <c r="H7" s="64"/>
      <c r="I7" s="64"/>
      <c r="J7" s="64"/>
      <c r="K7" s="64"/>
      <c r="L7" s="64"/>
    </row>
    <row r="8" spans="1:11" ht="15.75" customHeight="1" thickBot="1">
      <c r="A8" s="63"/>
      <c r="B8" s="135"/>
      <c r="C8" s="63"/>
      <c r="D8" s="63"/>
      <c r="E8" s="135"/>
      <c r="F8" s="135"/>
      <c r="G8" s="135"/>
      <c r="H8" s="63"/>
      <c r="I8" s="63"/>
      <c r="J8" s="63"/>
      <c r="K8" s="63"/>
    </row>
    <row r="9" spans="1:11" ht="15.75" customHeight="1" thickBot="1">
      <c r="A9" s="63"/>
      <c r="B9" s="135"/>
      <c r="C9" s="63"/>
      <c r="D9" s="137"/>
      <c r="E9" s="137"/>
      <c r="F9" s="138"/>
      <c r="G9" s="138"/>
      <c r="I9" s="432" t="s">
        <v>131</v>
      </c>
      <c r="J9" s="63"/>
      <c r="K9" s="63"/>
    </row>
    <row r="10" spans="2:12" ht="33.75" customHeight="1">
      <c r="B10" s="64"/>
      <c r="C10" s="64"/>
      <c r="D10" s="64"/>
      <c r="E10" s="728" t="str">
        <f>translate!B93</f>
        <v>Tableau championnat individuel, 6 joueurs, 3 tables</v>
      </c>
      <c r="F10" s="728"/>
      <c r="G10" s="728"/>
      <c r="H10" s="728"/>
      <c r="I10" s="728"/>
      <c r="J10" s="64"/>
      <c r="K10" s="64"/>
      <c r="L10" s="64"/>
    </row>
    <row r="11" spans="2:12" ht="10.5" customHeight="1">
      <c r="B11" s="63"/>
      <c r="C11" s="63"/>
      <c r="D11" s="63"/>
      <c r="E11" s="136"/>
      <c r="F11" s="136"/>
      <c r="G11" s="136"/>
      <c r="H11" s="136"/>
      <c r="I11" s="136"/>
      <c r="J11" s="63"/>
      <c r="K11" s="63"/>
      <c r="L11" s="63"/>
    </row>
    <row r="12" spans="2:12" ht="27.75" customHeight="1">
      <c r="B12" s="727" t="str">
        <f>translate!B94</f>
        <v>Vous utilisez le tableau championnat individuel, 6 joueurs, chacun contre chacun, 3 tables.</v>
      </c>
      <c r="C12" s="727"/>
      <c r="D12" s="727"/>
      <c r="E12" s="727"/>
      <c r="F12" s="727"/>
      <c r="G12" s="115"/>
      <c r="H12" s="141"/>
      <c r="I12" s="727" t="str">
        <f>translate!B99</f>
        <v>Si un joueur déclare forfait, laissez blanc les cellules de points, reprises et séries de ce match et sélectionnez seulement "Forfait" dans le menu déroulant de ce joueur.</v>
      </c>
      <c r="J12" s="727"/>
      <c r="K12" s="727"/>
      <c r="L12" s="727"/>
    </row>
    <row r="13" spans="2:11" ht="36" customHeight="1">
      <c r="B13" s="729" t="str">
        <f>translate!B95</f>
        <v>Important: le tableau fonctionne seulement pour cette configuration. S'il y a un autre nombre de joueurs ou de tables, utilisez le tableau approprié !</v>
      </c>
      <c r="C13" s="729"/>
      <c r="D13" s="729"/>
      <c r="E13" s="729"/>
      <c r="F13" s="729"/>
      <c r="G13" s="116"/>
      <c r="H13" s="141"/>
      <c r="I13" s="106"/>
      <c r="J13" s="109"/>
      <c r="K13" s="108"/>
    </row>
    <row r="14" spans="2:8" ht="12.75">
      <c r="B14" s="730"/>
      <c r="C14" s="730"/>
      <c r="D14" s="730"/>
      <c r="E14" s="730"/>
      <c r="F14" s="730"/>
      <c r="H14" s="141"/>
    </row>
    <row r="15" spans="2:12" ht="34.5" customHeight="1">
      <c r="B15" s="727" t="str">
        <f>translate!B96</f>
        <v>Vous devez saisir les données seulement dans les cellules blanches de la feuille "Runden-Tours". Le tableau se remplit automatiquement tout seul.</v>
      </c>
      <c r="C15" s="727"/>
      <c r="D15" s="727"/>
      <c r="E15" s="727"/>
      <c r="F15" s="727"/>
      <c r="G15" s="115"/>
      <c r="H15" s="141"/>
      <c r="I15" s="64"/>
      <c r="J15" s="639"/>
      <c r="K15" s="639"/>
      <c r="L15" s="64"/>
    </row>
    <row r="16" spans="2:12" ht="29.25" customHeight="1">
      <c r="B16" s="638"/>
      <c r="C16" s="638"/>
      <c r="D16" s="638"/>
      <c r="E16" s="638"/>
      <c r="F16" s="638"/>
      <c r="G16" s="115"/>
      <c r="H16" s="141"/>
      <c r="I16" s="727" t="str">
        <f>translate!B100</f>
        <v>Après le tournoi vous devez envoyer non pas un PDF du Tableau, mais le fichier Excel complet par e-mail à l'adresse suivante :</v>
      </c>
      <c r="J16" s="727"/>
      <c r="K16" s="727"/>
      <c r="L16" s="727"/>
    </row>
    <row r="17" spans="2:12" ht="25.5" customHeight="1">
      <c r="B17" s="727" t="str">
        <f>translate!B97</f>
        <v>Beaucoup de cellules utilisent des menus déroulants ou vous pouvez sélectionner des données au lieu de les écrire.</v>
      </c>
      <c r="C17" s="727"/>
      <c r="D17" s="727"/>
      <c r="E17" s="727"/>
      <c r="F17" s="727"/>
      <c r="G17" s="115"/>
      <c r="H17" s="141"/>
      <c r="I17" s="143" t="s">
        <v>135</v>
      </c>
      <c r="J17" s="64"/>
      <c r="K17" s="64"/>
      <c r="L17" s="64"/>
    </row>
    <row r="18" spans="2:10" ht="16.5" customHeight="1">
      <c r="B18" s="106"/>
      <c r="C18" s="109"/>
      <c r="D18" s="115"/>
      <c r="E18" s="108"/>
      <c r="H18" s="141"/>
      <c r="I18" s="114" t="str">
        <f>translate!B103</f>
        <v>Réalisation</v>
      </c>
      <c r="J18" s="114"/>
    </row>
    <row r="19" spans="8:10" ht="15" customHeight="1">
      <c r="H19" s="141"/>
      <c r="I19" s="105" t="str">
        <f>translate!B101</f>
        <v>Tout ce qu'on voit:</v>
      </c>
      <c r="J19" s="105" t="s">
        <v>137</v>
      </c>
    </row>
    <row r="20" spans="2:8" ht="33" customHeight="1">
      <c r="B20" s="64"/>
      <c r="C20" s="64"/>
      <c r="D20" s="64"/>
      <c r="E20" s="64"/>
      <c r="F20" s="64"/>
      <c r="H20" s="141"/>
    </row>
    <row r="21" spans="2:8" ht="33" customHeight="1">
      <c r="B21" s="727" t="str">
        <f>translate!B98</f>
        <v>La feuille "Rangliste - Classement" affiche le classement dans l'ordre et donne des précisions en cas d'égalité de PM.</v>
      </c>
      <c r="C21" s="727"/>
      <c r="D21" s="727"/>
      <c r="E21" s="727"/>
      <c r="F21" s="727"/>
      <c r="H21" s="141"/>
    </row>
    <row r="22" spans="2:10" ht="21" customHeight="1">
      <c r="B22" s="64"/>
      <c r="C22" s="64"/>
      <c r="D22" s="64"/>
      <c r="E22" s="64"/>
      <c r="F22" s="64"/>
      <c r="H22" s="141"/>
      <c r="I22" s="107" t="str">
        <f>translate!B102</f>
        <v>Tout ce qu'on ne voit pas (donc, le vrai travail):</v>
      </c>
      <c r="J22" s="107" t="s">
        <v>138</v>
      </c>
    </row>
    <row r="23" spans="2:8" ht="49.5" customHeight="1">
      <c r="B23" s="727" t="str">
        <f>translate!B105</f>
        <v>S'il y a 2 joueurs ou plus du même club, ils doivent être plaçés selon les instructions dans la feuille "Reglement - Règlement" !</v>
      </c>
      <c r="C23" s="727"/>
      <c r="D23" s="727"/>
      <c r="E23" s="727"/>
      <c r="F23" s="727"/>
      <c r="H23" s="141"/>
    </row>
    <row r="24" spans="8:10" ht="13.5" customHeight="1">
      <c r="H24" s="63"/>
      <c r="I24" s="107"/>
      <c r="J24" s="107"/>
    </row>
    <row r="25" spans="2:12" ht="16.5" customHeight="1">
      <c r="B25" s="142" t="s">
        <v>105</v>
      </c>
      <c r="C25" s="142"/>
      <c r="D25" s="142"/>
      <c r="E25" s="142"/>
      <c r="F25" s="142"/>
      <c r="G25" s="142"/>
      <c r="H25" s="142"/>
      <c r="I25" s="142" t="str">
        <f>calculations!C1</f>
        <v>Version 2</v>
      </c>
      <c r="J25" s="142"/>
      <c r="K25" s="142"/>
      <c r="L25" s="142"/>
    </row>
    <row r="26" ht="56.25" customHeight="1"/>
    <row r="28" ht="78.75" customHeight="1"/>
    <row r="29" s="107" customFormat="1" ht="82.5" customHeight="1"/>
  </sheetData>
  <sheetProtection password="814D" sheet="1" objects="1" scenarios="1" selectLockedCells="1"/>
  <mergeCells count="13">
    <mergeCell ref="G2:I2"/>
    <mergeCell ref="G4:I4"/>
    <mergeCell ref="G5:I5"/>
    <mergeCell ref="G6:I6"/>
    <mergeCell ref="B23:F23"/>
    <mergeCell ref="E10:I10"/>
    <mergeCell ref="I12:L12"/>
    <mergeCell ref="I16:L16"/>
    <mergeCell ref="B17:F17"/>
    <mergeCell ref="B12:F12"/>
    <mergeCell ref="B15:F15"/>
    <mergeCell ref="B21:F21"/>
    <mergeCell ref="B13:F14"/>
  </mergeCells>
  <dataValidations count="1">
    <dataValidation type="list" allowBlank="1" showInputMessage="1" showErrorMessage="1" sqref="I9">
      <formula1>"Deutsch,Français"</formula1>
    </dataValidation>
  </dataValidation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dimension ref="A1:AR66"/>
  <sheetViews>
    <sheetView showGridLines="0" showRowColHeaders="0" zoomScalePageLayoutView="0" workbookViewId="0" topLeftCell="A1">
      <selection activeCell="I3" sqref="I3:N3"/>
    </sheetView>
  </sheetViews>
  <sheetFormatPr defaultColWidth="11.421875" defaultRowHeight="12.75"/>
  <cols>
    <col min="1" max="1" width="3.140625" style="105" customWidth="1"/>
    <col min="2" max="2" width="0.85546875" style="105" customWidth="1"/>
    <col min="3" max="3" width="2.28125" style="105" customWidth="1"/>
    <col min="4" max="4" width="2.7109375" style="105" customWidth="1"/>
    <col min="5" max="5" width="5.7109375" style="105" customWidth="1"/>
    <col min="6" max="6" width="7.8515625" style="105" customWidth="1"/>
    <col min="7" max="7" width="3.7109375" style="105" customWidth="1"/>
    <col min="8" max="8" width="15.7109375" style="105" customWidth="1"/>
    <col min="9" max="10" width="3.7109375" style="117" customWidth="1"/>
    <col min="11" max="11" width="5.7109375" style="117" customWidth="1"/>
    <col min="12" max="13" width="7.7109375" style="117" customWidth="1"/>
    <col min="14" max="14" width="4.7109375" style="117" customWidth="1"/>
    <col min="15" max="15" width="0.85546875" style="105" customWidth="1"/>
    <col min="16" max="16" width="5.28125" style="105" customWidth="1"/>
    <col min="17" max="17" width="8.7109375" style="105" customWidth="1"/>
    <col min="18" max="18" width="7.8515625" style="105" customWidth="1"/>
    <col min="19" max="19" width="18.7109375" style="105" customWidth="1"/>
    <col min="20" max="20" width="7.7109375" style="105" customWidth="1"/>
    <col min="21" max="21" width="5.7109375" style="105" customWidth="1"/>
    <col min="22" max="23" width="7.7109375" style="105" customWidth="1"/>
    <col min="24" max="24" width="4.7109375" style="105" customWidth="1"/>
    <col min="25" max="25" width="0.85546875" style="105" customWidth="1"/>
    <col min="26" max="26" width="2.7109375" style="105" customWidth="1"/>
    <col min="27" max="27" width="0.85546875" style="105" customWidth="1"/>
    <col min="28" max="16384" width="11.421875" style="105" customWidth="1"/>
  </cols>
  <sheetData>
    <row r="1" spans="2:31" ht="24.75" customHeight="1">
      <c r="B1" s="63"/>
      <c r="C1" s="63"/>
      <c r="D1" s="766" t="str">
        <f>IF(OR(translate!J6="",translate!J6="  "),translate!B104,translate!J6)</f>
        <v>Saisissez les données dans les cellules blanches</v>
      </c>
      <c r="E1" s="766"/>
      <c r="F1" s="766"/>
      <c r="G1" s="766"/>
      <c r="H1" s="766"/>
      <c r="I1" s="766"/>
      <c r="J1" s="766"/>
      <c r="K1" s="766"/>
      <c r="L1" s="766"/>
      <c r="M1" s="766"/>
      <c r="N1" s="766"/>
      <c r="O1" s="766"/>
      <c r="P1" s="766"/>
      <c r="Q1" s="766"/>
      <c r="R1" s="766"/>
      <c r="S1" s="766"/>
      <c r="T1" s="766"/>
      <c r="U1" s="766"/>
      <c r="V1" s="766"/>
      <c r="W1" s="766"/>
      <c r="X1" s="766"/>
      <c r="Y1" s="766"/>
      <c r="Z1" s="63"/>
      <c r="AA1" s="63"/>
      <c r="AB1" s="63"/>
      <c r="AC1" s="63"/>
      <c r="AD1" s="63"/>
      <c r="AE1" s="63"/>
    </row>
    <row r="2" spans="1:31" s="121" customFormat="1" ht="5.25" customHeight="1">
      <c r="A2" s="213"/>
      <c r="B2" s="213"/>
      <c r="C2" s="213"/>
      <c r="D2" s="239"/>
      <c r="E2" s="239"/>
      <c r="F2" s="239"/>
      <c r="G2" s="239"/>
      <c r="H2" s="205"/>
      <c r="I2" s="205"/>
      <c r="J2" s="205"/>
      <c r="K2" s="205"/>
      <c r="L2" s="205"/>
      <c r="M2" s="205"/>
      <c r="N2" s="205"/>
      <c r="O2" s="205"/>
      <c r="P2" s="205"/>
      <c r="Q2" s="240"/>
      <c r="R2" s="240"/>
      <c r="S2" s="205"/>
      <c r="T2" s="205"/>
      <c r="U2" s="205"/>
      <c r="V2" s="205"/>
      <c r="W2" s="205"/>
      <c r="X2" s="240"/>
      <c r="Y2" s="240"/>
      <c r="Z2" s="213"/>
      <c r="AA2" s="213"/>
      <c r="AB2" s="213"/>
      <c r="AC2" s="213"/>
      <c r="AD2" s="213"/>
      <c r="AE2" s="213"/>
    </row>
    <row r="3" spans="1:31" ht="12.75" customHeight="1">
      <c r="A3" s="63"/>
      <c r="B3" s="63"/>
      <c r="C3" s="63"/>
      <c r="D3" s="752"/>
      <c r="E3" s="753"/>
      <c r="F3" s="753"/>
      <c r="G3" s="754"/>
      <c r="H3" s="118" t="str">
        <f>translate!B10</f>
        <v>Club</v>
      </c>
      <c r="I3" s="748"/>
      <c r="J3" s="748"/>
      <c r="K3" s="748"/>
      <c r="L3" s="748"/>
      <c r="M3" s="748"/>
      <c r="N3" s="748"/>
      <c r="R3" s="118" t="str">
        <f>translate!B13</f>
        <v>Direction</v>
      </c>
      <c r="S3" s="743"/>
      <c r="T3" s="744"/>
      <c r="U3" s="744"/>
      <c r="V3" s="744"/>
      <c r="W3" s="744"/>
      <c r="X3" s="744"/>
      <c r="Y3" s="745"/>
      <c r="Z3" s="438"/>
      <c r="AA3" s="438"/>
      <c r="AB3" s="438"/>
      <c r="AC3" s="438"/>
      <c r="AD3" s="438"/>
      <c r="AE3" s="63"/>
    </row>
    <row r="4" spans="1:31" ht="12.75" customHeight="1">
      <c r="A4" s="63"/>
      <c r="B4" s="63"/>
      <c r="C4" s="63"/>
      <c r="D4" s="755"/>
      <c r="E4" s="756"/>
      <c r="F4" s="756"/>
      <c r="G4" s="757"/>
      <c r="H4" s="119" t="str">
        <f>translate!B11</f>
        <v>Date</v>
      </c>
      <c r="I4" s="761"/>
      <c r="J4" s="762"/>
      <c r="K4" s="763"/>
      <c r="L4" s="118" t="str">
        <f>translate!B12</f>
        <v>Saison</v>
      </c>
      <c r="M4" s="764">
        <f>IF(ISNUMBER(I4),IF(MONTH(I4)&gt;6,CONCATENATE(YEAR($I$4)," - ",YEAR($I$4)+1),CONCATENATE(YEAR($I$4)-1," - ",YEAR($I$4))),"")</f>
      </c>
      <c r="N4" s="765"/>
      <c r="Q4" s="238"/>
      <c r="R4" s="255" t="str">
        <f>translate!B37</f>
        <v>Remarques</v>
      </c>
      <c r="S4" s="734"/>
      <c r="T4" s="735"/>
      <c r="U4" s="735"/>
      <c r="V4" s="735"/>
      <c r="W4" s="735"/>
      <c r="X4" s="735"/>
      <c r="Y4" s="736"/>
      <c r="Z4" s="438"/>
      <c r="AA4" s="438"/>
      <c r="AB4" s="438"/>
      <c r="AC4" s="438"/>
      <c r="AD4" s="438"/>
      <c r="AE4" s="63"/>
    </row>
    <row r="5" spans="1:31" ht="12.75" customHeight="1">
      <c r="A5" s="63"/>
      <c r="B5" s="63"/>
      <c r="C5" s="63"/>
      <c r="D5" s="755"/>
      <c r="E5" s="756"/>
      <c r="F5" s="756"/>
      <c r="G5" s="757"/>
      <c r="Q5" s="238"/>
      <c r="R5" s="238"/>
      <c r="S5" s="737"/>
      <c r="T5" s="738"/>
      <c r="U5" s="738"/>
      <c r="V5" s="738"/>
      <c r="W5" s="738"/>
      <c r="X5" s="738"/>
      <c r="Y5" s="739"/>
      <c r="Z5" s="63"/>
      <c r="AA5" s="63"/>
      <c r="AB5" s="63"/>
      <c r="AC5" s="63"/>
      <c r="AD5" s="63"/>
      <c r="AE5" s="63"/>
    </row>
    <row r="6" spans="1:28" ht="12.75" customHeight="1">
      <c r="A6" s="63"/>
      <c r="B6" s="63"/>
      <c r="C6" s="63"/>
      <c r="D6" s="755"/>
      <c r="E6" s="756"/>
      <c r="F6" s="756"/>
      <c r="G6" s="757"/>
      <c r="H6" s="118" t="str">
        <f>translate!B3</f>
        <v>Discipline</v>
      </c>
      <c r="I6" s="749"/>
      <c r="J6" s="750"/>
      <c r="K6" s="750"/>
      <c r="L6" s="750"/>
      <c r="M6" s="750"/>
      <c r="N6" s="751"/>
      <c r="Q6" s="238"/>
      <c r="R6" s="439"/>
      <c r="S6" s="740"/>
      <c r="T6" s="741"/>
      <c r="U6" s="741"/>
      <c r="V6" s="741"/>
      <c r="W6" s="741"/>
      <c r="X6" s="741"/>
      <c r="Y6" s="742"/>
      <c r="Z6" s="63"/>
      <c r="AA6" s="63"/>
      <c r="AB6" s="63"/>
    </row>
    <row r="7" spans="1:28" ht="12.75">
      <c r="A7" s="63"/>
      <c r="B7" s="63"/>
      <c r="C7" s="63"/>
      <c r="D7" s="755"/>
      <c r="E7" s="756"/>
      <c r="F7" s="756"/>
      <c r="G7" s="757"/>
      <c r="H7" s="118" t="str">
        <f>translate!B4</f>
        <v>Catégorie</v>
      </c>
      <c r="I7" s="749"/>
      <c r="J7" s="750"/>
      <c r="K7" s="750"/>
      <c r="L7" s="750"/>
      <c r="M7" s="750"/>
      <c r="N7" s="751"/>
      <c r="O7" s="120"/>
      <c r="P7" s="121"/>
      <c r="R7" s="732"/>
      <c r="Z7" s="63"/>
      <c r="AA7" s="63"/>
      <c r="AB7" s="63"/>
    </row>
    <row r="8" spans="1:28" ht="12.75">
      <c r="A8" s="63"/>
      <c r="B8" s="63"/>
      <c r="C8" s="63"/>
      <c r="D8" s="755"/>
      <c r="E8" s="756"/>
      <c r="F8" s="756"/>
      <c r="G8" s="757"/>
      <c r="H8" s="118" t="str">
        <f>translate!B5</f>
        <v>Tour</v>
      </c>
      <c r="I8" s="749"/>
      <c r="J8" s="750"/>
      <c r="K8" s="750"/>
      <c r="L8" s="750"/>
      <c r="M8" s="750"/>
      <c r="N8" s="751"/>
      <c r="O8" s="122"/>
      <c r="P8" s="121"/>
      <c r="R8" s="732"/>
      <c r="S8" s="731" t="str">
        <f>translate!B105</f>
        <v>S'il y a 2 joueurs ou plus du même club, ils doivent être plaçés selon les instructions dans la feuille "Reglement - Règlement" !</v>
      </c>
      <c r="T8" s="731"/>
      <c r="U8" s="731"/>
      <c r="V8" s="731"/>
      <c r="W8" s="731"/>
      <c r="X8" s="731"/>
      <c r="Y8" s="731"/>
      <c r="Z8" s="63"/>
      <c r="AA8" s="213"/>
      <c r="AB8" s="63"/>
    </row>
    <row r="9" spans="1:27" ht="12.75">
      <c r="A9" s="63"/>
      <c r="B9" s="63"/>
      <c r="C9" s="63"/>
      <c r="D9" s="758"/>
      <c r="E9" s="759"/>
      <c r="F9" s="759"/>
      <c r="G9" s="760"/>
      <c r="H9" s="118" t="str">
        <f>translate!B6</f>
        <v>Distance de jeu</v>
      </c>
      <c r="I9" s="768"/>
      <c r="J9" s="769"/>
      <c r="K9" s="231" t="str">
        <f>translate!B20</f>
        <v>Pts</v>
      </c>
      <c r="L9" s="233"/>
      <c r="M9" s="232" t="str">
        <f>translate!B15</f>
        <v>Rep</v>
      </c>
      <c r="N9" s="105"/>
      <c r="O9" s="122"/>
      <c r="P9" s="121"/>
      <c r="R9" s="732"/>
      <c r="S9" s="731"/>
      <c r="T9" s="731"/>
      <c r="U9" s="731"/>
      <c r="V9" s="731"/>
      <c r="W9" s="731"/>
      <c r="X9" s="731"/>
      <c r="Y9" s="731"/>
      <c r="Z9" s="63"/>
      <c r="AA9" s="121"/>
    </row>
    <row r="10" spans="2:26" ht="12.75">
      <c r="B10" s="63"/>
      <c r="C10" s="63"/>
      <c r="D10" s="234"/>
      <c r="E10" s="234"/>
      <c r="F10" s="234"/>
      <c r="G10" s="234"/>
      <c r="H10" s="119" t="str">
        <f>translate!B8</f>
        <v>Table (surface de jeu)</v>
      </c>
      <c r="I10" s="746"/>
      <c r="J10" s="746"/>
      <c r="K10" s="746"/>
      <c r="L10" s="746"/>
      <c r="M10" s="746"/>
      <c r="N10" s="746"/>
      <c r="O10" s="123"/>
      <c r="P10" s="121"/>
      <c r="S10" s="731"/>
      <c r="T10" s="731"/>
      <c r="U10" s="731"/>
      <c r="V10" s="731"/>
      <c r="W10" s="731"/>
      <c r="X10" s="731"/>
      <c r="Y10" s="731"/>
      <c r="Z10" s="63"/>
    </row>
    <row r="11" spans="2:16" ht="6" customHeight="1">
      <c r="B11" s="63"/>
      <c r="C11" s="63"/>
      <c r="D11" s="234"/>
      <c r="E11" s="234"/>
      <c r="F11" s="234"/>
      <c r="G11" s="234"/>
      <c r="H11" s="118"/>
      <c r="I11" s="241"/>
      <c r="J11" s="241"/>
      <c r="K11" s="232"/>
      <c r="L11" s="241"/>
      <c r="M11" s="232"/>
      <c r="N11" s="105"/>
      <c r="O11" s="123"/>
      <c r="P11" s="121"/>
    </row>
    <row r="12" spans="2:26" ht="3.75" customHeight="1">
      <c r="B12" s="190"/>
      <c r="C12" s="191"/>
      <c r="D12" s="242"/>
      <c r="E12" s="242"/>
      <c r="F12" s="242"/>
      <c r="G12" s="242"/>
      <c r="H12" s="191"/>
      <c r="I12" s="191"/>
      <c r="J12" s="191"/>
      <c r="K12" s="191"/>
      <c r="L12" s="191"/>
      <c r="M12" s="191"/>
      <c r="N12" s="191"/>
      <c r="O12" s="243"/>
      <c r="P12" s="244"/>
      <c r="Q12" s="191"/>
      <c r="R12" s="191"/>
      <c r="S12" s="191"/>
      <c r="T12" s="191"/>
      <c r="U12" s="191"/>
      <c r="V12" s="191"/>
      <c r="W12" s="191"/>
      <c r="X12" s="191"/>
      <c r="Y12" s="191"/>
      <c r="Z12" s="193"/>
    </row>
    <row r="13" spans="2:27" ht="15" customHeight="1">
      <c r="B13" s="196"/>
      <c r="C13" s="73"/>
      <c r="D13" s="73"/>
      <c r="E13" s="73"/>
      <c r="F13" s="73"/>
      <c r="G13" s="73"/>
      <c r="H13" s="73"/>
      <c r="I13" s="247"/>
      <c r="J13" s="247"/>
      <c r="K13" s="247"/>
      <c r="L13" s="247"/>
      <c r="M13" s="247"/>
      <c r="N13" s="247"/>
      <c r="O13" s="73"/>
      <c r="P13" s="245"/>
      <c r="Q13" s="747" t="str">
        <f>translate!B23</f>
        <v>Tour 3</v>
      </c>
      <c r="R13" s="747"/>
      <c r="S13" s="747"/>
      <c r="T13" s="747"/>
      <c r="U13" s="747"/>
      <c r="V13" s="747"/>
      <c r="W13" s="747"/>
      <c r="X13" s="747"/>
      <c r="Y13" s="747"/>
      <c r="Z13" s="197"/>
      <c r="AA13" s="251"/>
    </row>
    <row r="14" spans="2:27" ht="15" customHeight="1">
      <c r="B14" s="196"/>
      <c r="C14" s="73"/>
      <c r="D14" s="733" t="str">
        <f>translate!B93</f>
        <v>Tableau championnat individuel, 6 joueurs, 3 tables</v>
      </c>
      <c r="E14" s="733"/>
      <c r="F14" s="733"/>
      <c r="G14" s="733"/>
      <c r="H14" s="733"/>
      <c r="I14" s="733"/>
      <c r="J14" s="733"/>
      <c r="K14" s="733"/>
      <c r="L14" s="733"/>
      <c r="M14" s="733"/>
      <c r="N14" s="733"/>
      <c r="O14" s="733"/>
      <c r="P14" s="245"/>
      <c r="Q14" s="204"/>
      <c r="R14" s="214" t="s">
        <v>103</v>
      </c>
      <c r="S14" s="214" t="str">
        <f>translate!$B$9</f>
        <v>Joueur</v>
      </c>
      <c r="T14" s="215" t="str">
        <f>translate!$B$14</f>
        <v>Points</v>
      </c>
      <c r="U14" s="216" t="str">
        <f>translate!$B$15</f>
        <v>Rep</v>
      </c>
      <c r="V14" s="215" t="str">
        <f>translate!$B$16</f>
        <v>Série</v>
      </c>
      <c r="W14" s="215" t="str">
        <f>translate!$B$17</f>
        <v>MP</v>
      </c>
      <c r="X14" s="215" t="str">
        <f>translate!$B$18</f>
        <v>PM</v>
      </c>
      <c r="Y14" s="217"/>
      <c r="Z14" s="197"/>
      <c r="AA14" s="251"/>
    </row>
    <row r="15" spans="2:27" ht="12.75">
      <c r="B15" s="246"/>
      <c r="C15" s="180"/>
      <c r="D15" s="73"/>
      <c r="E15" s="73"/>
      <c r="F15" s="73"/>
      <c r="G15" s="73"/>
      <c r="H15" s="73"/>
      <c r="I15" s="247"/>
      <c r="J15" s="247"/>
      <c r="K15" s="247"/>
      <c r="L15" s="247"/>
      <c r="M15" s="247"/>
      <c r="N15" s="247"/>
      <c r="O15" s="73"/>
      <c r="P15" s="245"/>
      <c r="Q15" s="774" t="str">
        <f>translate!$B$26</f>
        <v>Table 1</v>
      </c>
      <c r="R15" s="149"/>
      <c r="S15" s="228">
        <f>T('Runden - Tours'!E20)</f>
      </c>
      <c r="T15" s="619"/>
      <c r="U15" s="775"/>
      <c r="V15" s="619"/>
      <c r="W15" s="227">
        <f>IF(ISNUMBER(calculations!K17),FIXED(ROUNDDOWN(calculations!K17,calculations!$G$2),calculations!$G$2),"")</f>
      </c>
      <c r="X15" s="590">
        <f>IF(ISNUMBER(calculations!L17),calculations!L17,"")</f>
      </c>
      <c r="Y15" s="144"/>
      <c r="Z15" s="197"/>
      <c r="AA15" s="251"/>
    </row>
    <row r="16" spans="2:27" ht="12.75">
      <c r="B16" s="196"/>
      <c r="C16" s="73"/>
      <c r="D16" s="218"/>
      <c r="E16" s="214" t="str">
        <f>translate!B9</f>
        <v>Joueur</v>
      </c>
      <c r="F16" s="142"/>
      <c r="G16" s="142"/>
      <c r="H16" s="214" t="str">
        <f>translate!B10</f>
        <v>Club</v>
      </c>
      <c r="I16" s="219"/>
      <c r="J16" s="586" t="s">
        <v>104</v>
      </c>
      <c r="K16" s="583" t="str">
        <f>translate!B18</f>
        <v>PM</v>
      </c>
      <c r="L16" s="583" t="str">
        <f>translate!B19</f>
        <v>MG</v>
      </c>
      <c r="M16" s="215" t="str">
        <f>translate!B17</f>
        <v>MP</v>
      </c>
      <c r="N16" s="230" t="str">
        <f>translate!B16</f>
        <v>Série</v>
      </c>
      <c r="O16" s="229"/>
      <c r="P16" s="245"/>
      <c r="Q16" s="774"/>
      <c r="R16" s="149"/>
      <c r="S16" s="228">
        <f>T('Runden - Tours'!E22)</f>
      </c>
      <c r="T16" s="619"/>
      <c r="U16" s="776"/>
      <c r="V16" s="619"/>
      <c r="W16" s="227">
        <f>IF(ISNUMBER(calculations!K18),FIXED(ROUNDDOWN(calculations!K18,calculations!$G$2),calculations!$G$2),"")</f>
      </c>
      <c r="X16" s="590">
        <f>IF(ISNUMBER(calculations!L18),calculations!L18,"")</f>
      </c>
      <c r="Y16" s="144"/>
      <c r="Z16" s="197"/>
      <c r="AA16" s="251"/>
    </row>
    <row r="17" spans="2:27" ht="12.75">
      <c r="B17" s="196"/>
      <c r="C17" s="73"/>
      <c r="D17" s="207">
        <v>1</v>
      </c>
      <c r="E17" s="743"/>
      <c r="F17" s="744"/>
      <c r="G17" s="745"/>
      <c r="H17" s="748"/>
      <c r="I17" s="748"/>
      <c r="J17" s="584">
        <f>IF(ISNUMBER(calculations!AR5),calculations!AR5,"")</f>
        <v>1</v>
      </c>
      <c r="K17" s="585">
        <f>Tableau!AD9</f>
        <v>0</v>
      </c>
      <c r="L17" s="236" t="str">
        <f>IF(ISTEXT(Tableau!AG9),Tableau!AG9,"")</f>
        <v>0.00</v>
      </c>
      <c r="M17" s="236" t="str">
        <f>Tableau!AH9</f>
        <v>- - -</v>
      </c>
      <c r="N17" s="237">
        <f>Tableau!AI9</f>
        <v>0</v>
      </c>
      <c r="O17" s="208"/>
      <c r="P17" s="720"/>
      <c r="Q17" s="220"/>
      <c r="R17" s="102"/>
      <c r="S17" s="63"/>
      <c r="T17" s="206"/>
      <c r="U17" s="221"/>
      <c r="V17" s="222"/>
      <c r="W17" s="213"/>
      <c r="X17" s="213"/>
      <c r="Y17" s="144"/>
      <c r="Z17" s="197"/>
      <c r="AA17" s="251"/>
    </row>
    <row r="18" spans="2:27" ht="12.75">
      <c r="B18" s="196"/>
      <c r="C18" s="73"/>
      <c r="D18" s="207">
        <v>2</v>
      </c>
      <c r="E18" s="743"/>
      <c r="F18" s="744"/>
      <c r="G18" s="745"/>
      <c r="H18" s="748"/>
      <c r="I18" s="748"/>
      <c r="J18" s="582">
        <f>IF(ISNUMBER(calculations!AR9),calculations!AR9,"")</f>
        <v>1</v>
      </c>
      <c r="K18" s="587">
        <f>Tableau!AD13</f>
        <v>0</v>
      </c>
      <c r="L18" s="236" t="str">
        <f>IF(ISTEXT(Tableau!AG13),Tableau!AG13,"")</f>
        <v>0.00</v>
      </c>
      <c r="M18" s="236" t="str">
        <f>Tableau!AH13</f>
        <v>- - -</v>
      </c>
      <c r="N18" s="237">
        <f>Tableau!AI13</f>
        <v>0</v>
      </c>
      <c r="O18" s="208"/>
      <c r="P18" s="720"/>
      <c r="Q18" s="774" t="str">
        <f>translate!$B$27</f>
        <v>Table 2</v>
      </c>
      <c r="R18" s="149"/>
      <c r="S18" s="228">
        <f>T('Runden - Tours'!E18)</f>
      </c>
      <c r="T18" s="619"/>
      <c r="U18" s="775"/>
      <c r="V18" s="619"/>
      <c r="W18" s="227">
        <f>IF(ISNUMBER(calculations!F9),FIXED(ROUNDDOWN(calculations!F9,calculations!$G$2),calculations!$G$2),"")</f>
      </c>
      <c r="X18" s="590">
        <f>IF(ISNUMBER(calculations!G9),calculations!G9,"")</f>
      </c>
      <c r="Y18" s="144"/>
      <c r="Z18" s="197"/>
      <c r="AA18" s="251"/>
    </row>
    <row r="19" spans="2:27" ht="12.75">
      <c r="B19" s="196"/>
      <c r="C19" s="73"/>
      <c r="D19" s="207">
        <v>3</v>
      </c>
      <c r="E19" s="743"/>
      <c r="F19" s="744"/>
      <c r="G19" s="745"/>
      <c r="H19" s="748"/>
      <c r="I19" s="748"/>
      <c r="J19" s="582">
        <f>IF(ISNUMBER(calculations!AR13),calculations!AR13,"")</f>
        <v>1</v>
      </c>
      <c r="K19" s="587">
        <f>Tableau!AD17</f>
        <v>0</v>
      </c>
      <c r="L19" s="236" t="str">
        <f>IF(ISTEXT(Tableau!AG17),Tableau!AG17,"")</f>
        <v>0.00</v>
      </c>
      <c r="M19" s="236" t="str">
        <f>Tableau!AH17</f>
        <v>- - -</v>
      </c>
      <c r="N19" s="237">
        <f>Tableau!AI17</f>
        <v>0</v>
      </c>
      <c r="O19" s="208"/>
      <c r="P19" s="720"/>
      <c r="Q19" s="774"/>
      <c r="R19" s="149"/>
      <c r="S19" s="228">
        <f>T('Runden - Tours'!E19)</f>
      </c>
      <c r="T19" s="619"/>
      <c r="U19" s="776"/>
      <c r="V19" s="619"/>
      <c r="W19" s="227">
        <f>IF(ISNUMBER(calculations!F10),FIXED(ROUNDDOWN(calculations!F10,calculations!$G$2),calculations!$G$2),"")</f>
      </c>
      <c r="X19" s="590">
        <f>IF(ISNUMBER(calculations!G10),calculations!G10,"")</f>
      </c>
      <c r="Y19" s="144"/>
      <c r="Z19" s="197"/>
      <c r="AA19" s="251"/>
    </row>
    <row r="20" spans="2:27" ht="12.75">
      <c r="B20" s="196"/>
      <c r="C20" s="73"/>
      <c r="D20" s="207">
        <v>4</v>
      </c>
      <c r="E20" s="743"/>
      <c r="F20" s="744"/>
      <c r="G20" s="745"/>
      <c r="H20" s="748"/>
      <c r="I20" s="748"/>
      <c r="J20" s="582">
        <f>IF(ISNUMBER(calculations!AR17),calculations!AR17,"")</f>
        <v>1</v>
      </c>
      <c r="K20" s="587">
        <f>Tableau!AD21</f>
        <v>0</v>
      </c>
      <c r="L20" s="236" t="str">
        <f>IF(ISTEXT(Tableau!AG21),Tableau!AG21,"")</f>
        <v>0.00</v>
      </c>
      <c r="M20" s="236" t="str">
        <f>Tableau!AH21</f>
        <v>- - -</v>
      </c>
      <c r="N20" s="237">
        <f>Tableau!AI21</f>
        <v>0</v>
      </c>
      <c r="O20" s="208"/>
      <c r="P20" s="720"/>
      <c r="Q20" s="220"/>
      <c r="R20" s="102"/>
      <c r="S20" s="63"/>
      <c r="T20" s="206"/>
      <c r="U20" s="221"/>
      <c r="V20" s="222"/>
      <c r="W20" s="213"/>
      <c r="X20" s="213"/>
      <c r="Y20" s="144"/>
      <c r="Z20" s="197"/>
      <c r="AA20" s="251"/>
    </row>
    <row r="21" spans="2:27" ht="12.75">
      <c r="B21" s="196"/>
      <c r="C21" s="73"/>
      <c r="D21" s="207">
        <v>5</v>
      </c>
      <c r="E21" s="743"/>
      <c r="F21" s="744"/>
      <c r="G21" s="745"/>
      <c r="H21" s="748"/>
      <c r="I21" s="748"/>
      <c r="J21" s="582">
        <f>IF(ISNUMBER(calculations!AR21),calculations!AR21,"")</f>
        <v>1</v>
      </c>
      <c r="K21" s="587">
        <f>Tableau!AD25</f>
        <v>0</v>
      </c>
      <c r="L21" s="236" t="str">
        <f>IF(ISTEXT(Tableau!AG25),Tableau!AG25,"")</f>
        <v>0.00</v>
      </c>
      <c r="M21" s="236" t="str">
        <f>Tableau!AH25</f>
        <v>- - -</v>
      </c>
      <c r="N21" s="237">
        <f>Tableau!AI25</f>
        <v>0</v>
      </c>
      <c r="O21" s="208"/>
      <c r="P21" s="720"/>
      <c r="Q21" s="774" t="str">
        <f>translate!$B$28</f>
        <v>Table 3</v>
      </c>
      <c r="R21" s="149"/>
      <c r="S21" s="228">
        <f>T('Runden - Tours'!E17)</f>
      </c>
      <c r="T21" s="619"/>
      <c r="U21" s="775"/>
      <c r="V21" s="619"/>
      <c r="W21" s="227">
        <f>IF(ISNUMBER(calculations!U5),FIXED(ROUNDDOWN(calculations!U5,calculations!$G$2),calculations!$G$2),"")</f>
      </c>
      <c r="X21" s="590">
        <f>IF(ISNUMBER(calculations!V5),calculations!V5,"")</f>
      </c>
      <c r="Y21" s="144"/>
      <c r="Z21" s="197"/>
      <c r="AA21" s="251"/>
    </row>
    <row r="22" spans="2:27" ht="12.75">
      <c r="B22" s="196"/>
      <c r="C22" s="73"/>
      <c r="D22" s="207">
        <v>6</v>
      </c>
      <c r="E22" s="743"/>
      <c r="F22" s="744"/>
      <c r="G22" s="745"/>
      <c r="H22" s="748"/>
      <c r="I22" s="748"/>
      <c r="J22" s="582">
        <f>IF(ISNUMBER(calculations!AR25),calculations!AR25,"")</f>
        <v>1</v>
      </c>
      <c r="K22" s="587">
        <f>Tableau!AD29</f>
        <v>0</v>
      </c>
      <c r="L22" s="236" t="str">
        <f>IF(ISTEXT(Tableau!AG29),Tableau!AG29,"")</f>
        <v>0.00</v>
      </c>
      <c r="M22" s="236" t="str">
        <f>Tableau!AH29</f>
        <v>- - -</v>
      </c>
      <c r="N22" s="237">
        <f>Tableau!AI29</f>
        <v>0</v>
      </c>
      <c r="O22" s="208"/>
      <c r="P22" s="720"/>
      <c r="Q22" s="774"/>
      <c r="R22" s="149"/>
      <c r="S22" s="228">
        <f>T('Runden - Tours'!E21)</f>
      </c>
      <c r="T22" s="619"/>
      <c r="U22" s="776"/>
      <c r="V22" s="619"/>
      <c r="W22" s="227">
        <f>IF(ISNUMBER(calculations!U6),FIXED(ROUNDDOWN(calculations!U6,calculations!$G$2),calculations!$G$2),"")</f>
      </c>
      <c r="X22" s="590">
        <f>IF(ISNUMBER(calculations!V6),calculations!V6,"")</f>
      </c>
      <c r="Y22" s="144"/>
      <c r="Z22" s="197"/>
      <c r="AA22" s="251"/>
    </row>
    <row r="23" spans="2:27" ht="4.5" customHeight="1">
      <c r="B23" s="196"/>
      <c r="C23" s="73"/>
      <c r="D23" s="209"/>
      <c r="E23" s="64"/>
      <c r="F23" s="64"/>
      <c r="G23" s="64"/>
      <c r="H23" s="64"/>
      <c r="I23" s="210"/>
      <c r="J23" s="210"/>
      <c r="K23" s="210"/>
      <c r="L23" s="210"/>
      <c r="M23" s="210"/>
      <c r="N23" s="211"/>
      <c r="O23" s="212"/>
      <c r="P23" s="245"/>
      <c r="Q23" s="209"/>
      <c r="R23" s="64"/>
      <c r="S23" s="64"/>
      <c r="T23" s="210"/>
      <c r="U23" s="210"/>
      <c r="V23" s="210"/>
      <c r="W23" s="64"/>
      <c r="X23" s="64"/>
      <c r="Y23" s="223"/>
      <c r="Z23" s="197"/>
      <c r="AA23" s="251"/>
    </row>
    <row r="24" spans="2:27" ht="19.5" customHeight="1">
      <c r="B24" s="196"/>
      <c r="C24" s="73"/>
      <c r="D24" s="773" t="str">
        <f>translate!B21</f>
        <v>Tour 1</v>
      </c>
      <c r="E24" s="773"/>
      <c r="F24" s="773"/>
      <c r="G24" s="773"/>
      <c r="H24" s="773"/>
      <c r="I24" s="773"/>
      <c r="J24" s="773"/>
      <c r="K24" s="773"/>
      <c r="L24" s="773"/>
      <c r="M24" s="773"/>
      <c r="N24" s="773"/>
      <c r="O24" s="773"/>
      <c r="P24" s="73"/>
      <c r="Q24" s="773" t="str">
        <f>translate!B24</f>
        <v>Tour 4</v>
      </c>
      <c r="R24" s="773"/>
      <c r="S24" s="773"/>
      <c r="T24" s="773"/>
      <c r="U24" s="773"/>
      <c r="V24" s="773"/>
      <c r="W24" s="773"/>
      <c r="X24" s="773"/>
      <c r="Y24" s="773"/>
      <c r="Z24" s="197"/>
      <c r="AA24" s="251"/>
    </row>
    <row r="25" spans="2:27" ht="15" customHeight="1">
      <c r="B25" s="196"/>
      <c r="C25" s="73"/>
      <c r="D25" s="204"/>
      <c r="E25" s="142"/>
      <c r="F25" s="214" t="s">
        <v>103</v>
      </c>
      <c r="G25" s="214"/>
      <c r="H25" s="214" t="str">
        <f>translate!$B$9</f>
        <v>Joueur</v>
      </c>
      <c r="I25" s="770" t="str">
        <f>translate!$B$14</f>
        <v>Points</v>
      </c>
      <c r="J25" s="770"/>
      <c r="K25" s="216" t="str">
        <f>translate!$B$15</f>
        <v>Rep</v>
      </c>
      <c r="L25" s="215" t="str">
        <f>translate!$B$16</f>
        <v>Série</v>
      </c>
      <c r="M25" s="215" t="str">
        <f>translate!$B$17</f>
        <v>MP</v>
      </c>
      <c r="N25" s="215" t="str">
        <f>translate!$B$18</f>
        <v>PM</v>
      </c>
      <c r="O25" s="217"/>
      <c r="P25" s="73"/>
      <c r="Q25" s="204"/>
      <c r="R25" s="214" t="s">
        <v>103</v>
      </c>
      <c r="S25" s="214" t="str">
        <f>translate!$B$9</f>
        <v>Joueur</v>
      </c>
      <c r="T25" s="215" t="str">
        <f>translate!$B$14</f>
        <v>Points</v>
      </c>
      <c r="U25" s="216" t="str">
        <f>translate!$B$15</f>
        <v>Rep</v>
      </c>
      <c r="V25" s="215" t="str">
        <f>translate!$B$16</f>
        <v>Série</v>
      </c>
      <c r="W25" s="215" t="str">
        <f>translate!$B$17</f>
        <v>MP</v>
      </c>
      <c r="X25" s="215" t="str">
        <f>translate!$B$18</f>
        <v>PM</v>
      </c>
      <c r="Y25" s="217"/>
      <c r="Z25" s="197"/>
      <c r="AA25" s="251"/>
    </row>
    <row r="26" spans="2:27" ht="12.75">
      <c r="B26" s="196"/>
      <c r="C26" s="73"/>
      <c r="D26" s="777" t="str">
        <f>translate!$B$26</f>
        <v>Table 1</v>
      </c>
      <c r="E26" s="778"/>
      <c r="F26" s="149"/>
      <c r="G26" s="771">
        <f>T('Runden - Tours'!E17)</f>
      </c>
      <c r="H26" s="772"/>
      <c r="I26" s="767"/>
      <c r="J26" s="767"/>
      <c r="K26" s="775"/>
      <c r="L26" s="619"/>
      <c r="M26" s="227">
        <f>IF(ISNUMBER(calculations!Z5),FIXED(ROUNDDOWN(calculations!Z5,calculations!$G$2),calculations!$G$2),"")</f>
      </c>
      <c r="N26" s="590">
        <f>IF(ISNUMBER(calculations!AA5),calculations!AA5,"")</f>
      </c>
      <c r="O26" s="144"/>
      <c r="P26" s="248"/>
      <c r="Q26" s="774" t="str">
        <f>translate!$B$26</f>
        <v>Table 1</v>
      </c>
      <c r="R26" s="149"/>
      <c r="S26" s="228">
        <f>T('Runden - Tours'!E17)</f>
      </c>
      <c r="T26" s="619"/>
      <c r="U26" s="775"/>
      <c r="V26" s="619"/>
      <c r="W26" s="227">
        <f>IF(ISNUMBER(calculations!K5),FIXED(ROUNDDOWN(calculations!K5,calculations!$G$2),calculations!$G$2),"")</f>
      </c>
      <c r="X26" s="590">
        <f>IF(ISNUMBER(calculations!L5),calculations!L5,"")</f>
      </c>
      <c r="Y26" s="144"/>
      <c r="Z26" s="197"/>
      <c r="AA26" s="251"/>
    </row>
    <row r="27" spans="2:27" ht="12.75">
      <c r="B27" s="196"/>
      <c r="C27" s="73"/>
      <c r="D27" s="777"/>
      <c r="E27" s="778"/>
      <c r="F27" s="149"/>
      <c r="G27" s="771">
        <f>T('Runden - Tours'!E22)</f>
      </c>
      <c r="H27" s="772"/>
      <c r="I27" s="767"/>
      <c r="J27" s="767"/>
      <c r="K27" s="776"/>
      <c r="L27" s="619"/>
      <c r="M27" s="227">
        <f>IF(ISNUMBER(calculations!Z6),FIXED(ROUNDDOWN(calculations!Z6,calculations!$G$2),calculations!$G$2),"")</f>
      </c>
      <c r="N27" s="590">
        <f>IF(ISNUMBER(calculations!AA6),calculations!AA6,"")</f>
      </c>
      <c r="O27" s="144"/>
      <c r="P27" s="73"/>
      <c r="Q27" s="774"/>
      <c r="R27" s="149"/>
      <c r="S27" s="228">
        <f>T('Runden - Tours'!E19)</f>
      </c>
      <c r="T27" s="619"/>
      <c r="U27" s="776"/>
      <c r="V27" s="619"/>
      <c r="W27" s="227">
        <f>IF(ISNUMBER(calculations!K6),FIXED(ROUNDDOWN(calculations!K6,calculations!$G$2),calculations!$G$2),"")</f>
      </c>
      <c r="X27" s="590">
        <f>IF(ISNUMBER(calculations!L6),calculations!L6,"")</f>
      </c>
      <c r="Y27" s="144"/>
      <c r="Z27" s="197"/>
      <c r="AA27" s="251"/>
    </row>
    <row r="28" spans="2:27" ht="12.75">
      <c r="B28" s="196"/>
      <c r="C28" s="73"/>
      <c r="D28" s="220"/>
      <c r="E28" s="63"/>
      <c r="F28" s="102"/>
      <c r="G28" s="102"/>
      <c r="H28" s="63"/>
      <c r="I28" s="206"/>
      <c r="J28" s="206"/>
      <c r="K28" s="221"/>
      <c r="L28" s="222"/>
      <c r="M28" s="224"/>
      <c r="N28" s="225"/>
      <c r="O28" s="144"/>
      <c r="P28" s="73"/>
      <c r="Q28" s="220"/>
      <c r="R28" s="102"/>
      <c r="S28" s="63"/>
      <c r="T28" s="206"/>
      <c r="U28" s="221"/>
      <c r="V28" s="222"/>
      <c r="W28" s="213"/>
      <c r="X28" s="213"/>
      <c r="Y28" s="144"/>
      <c r="Z28" s="197"/>
      <c r="AA28" s="251"/>
    </row>
    <row r="29" spans="2:27" ht="12.75">
      <c r="B29" s="196"/>
      <c r="C29" s="73"/>
      <c r="D29" s="777" t="str">
        <f>translate!$B$27</f>
        <v>Table 2</v>
      </c>
      <c r="E29" s="778"/>
      <c r="F29" s="149"/>
      <c r="G29" s="771">
        <f>T('Runden - Tours'!E19)</f>
      </c>
      <c r="H29" s="772"/>
      <c r="I29" s="767"/>
      <c r="J29" s="767"/>
      <c r="K29" s="775"/>
      <c r="L29" s="619"/>
      <c r="M29" s="227">
        <f>IF(ISNUMBER(calculations!K13),FIXED(ROUNDDOWN(calculations!K13,calculations!$G$2),calculations!$G$2),"")</f>
      </c>
      <c r="N29" s="590">
        <f>IF(ISNUMBER(calculations!L13),calculations!L13,"")</f>
      </c>
      <c r="O29" s="144"/>
      <c r="P29" s="73"/>
      <c r="Q29" s="774" t="str">
        <f>translate!$B$27</f>
        <v>Table 2</v>
      </c>
      <c r="R29" s="149"/>
      <c r="S29" s="228">
        <f>T('Runden - Tours'!E18)</f>
      </c>
      <c r="T29" s="619"/>
      <c r="U29" s="775"/>
      <c r="V29" s="619"/>
      <c r="W29" s="227">
        <f>IF(ISNUMBER(calculations!U9),FIXED(ROUNDDOWN(calculations!U9,calculations!$G$2),calculations!$G$2),"")</f>
      </c>
      <c r="X29" s="590">
        <f>IF(ISNUMBER(calculations!V9),calculations!V9,"")</f>
      </c>
      <c r="Y29" s="144"/>
      <c r="Z29" s="197"/>
      <c r="AA29" s="251"/>
    </row>
    <row r="30" spans="2:27" ht="12.75">
      <c r="B30" s="196"/>
      <c r="C30" s="73"/>
      <c r="D30" s="777"/>
      <c r="E30" s="778"/>
      <c r="F30" s="149"/>
      <c r="G30" s="771">
        <f>T('Runden - Tours'!E21)</f>
      </c>
      <c r="H30" s="772"/>
      <c r="I30" s="767"/>
      <c r="J30" s="767"/>
      <c r="K30" s="776"/>
      <c r="L30" s="619"/>
      <c r="M30" s="227">
        <f>IF(ISNUMBER(calculations!K14),FIXED(ROUNDDOWN(calculations!K14,calculations!$G$2),calculations!$G$2),"")</f>
      </c>
      <c r="N30" s="590">
        <f>IF(ISNUMBER(calculations!L14),calculations!L14,"")</f>
      </c>
      <c r="O30" s="144"/>
      <c r="P30" s="73"/>
      <c r="Q30" s="774"/>
      <c r="R30" s="149"/>
      <c r="S30" s="228">
        <f>T('Runden - Tours'!E22)</f>
      </c>
      <c r="T30" s="619"/>
      <c r="U30" s="776"/>
      <c r="V30" s="619"/>
      <c r="W30" s="227">
        <f>IF(ISNUMBER(calculations!U10),FIXED(ROUNDDOWN(calculations!U10,calculations!$G$2),calculations!$G$2),"")</f>
      </c>
      <c r="X30" s="590">
        <f>IF(ISNUMBER(calculations!V10),calculations!V10,"")</f>
      </c>
      <c r="Y30" s="144"/>
      <c r="Z30" s="197"/>
      <c r="AA30" s="251"/>
    </row>
    <row r="31" spans="2:27" ht="12.75">
      <c r="B31" s="196"/>
      <c r="C31" s="73"/>
      <c r="D31" s="220"/>
      <c r="E31" s="63"/>
      <c r="F31" s="102"/>
      <c r="G31" s="102"/>
      <c r="H31" s="63"/>
      <c r="I31" s="206"/>
      <c r="J31" s="206"/>
      <c r="K31" s="221"/>
      <c r="L31" s="222"/>
      <c r="M31" s="224"/>
      <c r="N31" s="225"/>
      <c r="O31" s="144"/>
      <c r="P31" s="73"/>
      <c r="Q31" s="220"/>
      <c r="R31" s="102"/>
      <c r="S31" s="63"/>
      <c r="T31" s="206"/>
      <c r="U31" s="221"/>
      <c r="V31" s="222"/>
      <c r="W31" s="213"/>
      <c r="X31" s="213"/>
      <c r="Y31" s="144"/>
      <c r="Z31" s="197"/>
      <c r="AA31" s="251"/>
    </row>
    <row r="32" spans="2:27" ht="12.75">
      <c r="B32" s="196"/>
      <c r="C32" s="73"/>
      <c r="D32" s="777" t="str">
        <f>translate!$B$28</f>
        <v>Table 3</v>
      </c>
      <c r="E32" s="778"/>
      <c r="F32" s="149"/>
      <c r="G32" s="771">
        <f>T('Runden - Tours'!E18)</f>
      </c>
      <c r="H32" s="772"/>
      <c r="I32" s="767"/>
      <c r="J32" s="767"/>
      <c r="K32" s="775"/>
      <c r="L32" s="619"/>
      <c r="M32" s="227">
        <f>IF(ISNUMBER(calculations!K9),FIXED(ROUNDDOWN(calculations!K9,calculations!$G$2),calculations!$G$2),"")</f>
      </c>
      <c r="N32" s="590">
        <f>IF(ISNUMBER(calculations!L9),calculations!L9,"")</f>
      </c>
      <c r="O32" s="144"/>
      <c r="P32" s="73"/>
      <c r="Q32" s="774" t="str">
        <f>translate!$B$28</f>
        <v>Table 3</v>
      </c>
      <c r="R32" s="149"/>
      <c r="S32" s="228">
        <f>T('Runden - Tours'!E20)</f>
      </c>
      <c r="T32" s="619"/>
      <c r="U32" s="775"/>
      <c r="V32" s="619"/>
      <c r="W32" s="227">
        <f>IF(ISNUMBER(calculations!F17),FIXED(ROUNDDOWN(calculations!F17,calculations!$G$2),calculations!$G$2),"")</f>
      </c>
      <c r="X32" s="590">
        <f>IF(ISNUMBER(calculations!G17),calculations!G17,"")</f>
      </c>
      <c r="Y32" s="144"/>
      <c r="Z32" s="197"/>
      <c r="AA32" s="251"/>
    </row>
    <row r="33" spans="2:27" ht="12.75">
      <c r="B33" s="196"/>
      <c r="C33" s="73"/>
      <c r="D33" s="777"/>
      <c r="E33" s="778"/>
      <c r="F33" s="149"/>
      <c r="G33" s="771">
        <f>T('Runden - Tours'!E20)</f>
      </c>
      <c r="H33" s="772"/>
      <c r="I33" s="767"/>
      <c r="J33" s="767"/>
      <c r="K33" s="776"/>
      <c r="L33" s="619"/>
      <c r="M33" s="227">
        <f>IF(ISNUMBER(calculations!K10),FIXED(ROUNDDOWN(calculations!K10,calculations!$G$2),calculations!$G$2),"")</f>
      </c>
      <c r="N33" s="590">
        <f>IF(ISNUMBER(calculations!L10),calculations!L10,"")</f>
      </c>
      <c r="O33" s="144"/>
      <c r="P33" s="73"/>
      <c r="Q33" s="774"/>
      <c r="R33" s="149"/>
      <c r="S33" s="228">
        <f>T('Runden - Tours'!E21)</f>
      </c>
      <c r="T33" s="619"/>
      <c r="U33" s="776"/>
      <c r="V33" s="619"/>
      <c r="W33" s="227">
        <f>IF(ISNUMBER(calculations!F18),FIXED(ROUNDDOWN(calculations!F18,calculations!$G$2),calculations!$G$2),"")</f>
      </c>
      <c r="X33" s="590">
        <f>IF(ISNUMBER(calculations!G18),calculations!G18,"")</f>
      </c>
      <c r="Y33" s="144"/>
      <c r="Z33" s="197"/>
      <c r="AA33" s="251"/>
    </row>
    <row r="34" spans="2:27" ht="4.5" customHeight="1">
      <c r="B34" s="196"/>
      <c r="C34" s="73"/>
      <c r="D34" s="209"/>
      <c r="E34" s="64"/>
      <c r="F34" s="64"/>
      <c r="G34" s="64"/>
      <c r="H34" s="64"/>
      <c r="I34" s="210"/>
      <c r="J34" s="210"/>
      <c r="K34" s="210"/>
      <c r="L34" s="210"/>
      <c r="M34" s="210"/>
      <c r="N34" s="210"/>
      <c r="O34" s="223"/>
      <c r="P34" s="73"/>
      <c r="Q34" s="209"/>
      <c r="R34" s="64"/>
      <c r="S34" s="64"/>
      <c r="T34" s="210"/>
      <c r="U34" s="210"/>
      <c r="V34" s="210"/>
      <c r="W34" s="64"/>
      <c r="X34" s="64"/>
      <c r="Y34" s="223"/>
      <c r="Z34" s="197"/>
      <c r="AA34" s="251"/>
    </row>
    <row r="35" spans="2:27" ht="19.5" customHeight="1">
      <c r="B35" s="196"/>
      <c r="C35" s="73"/>
      <c r="D35" s="773" t="str">
        <f>translate!B22</f>
        <v>Tour 2</v>
      </c>
      <c r="E35" s="773"/>
      <c r="F35" s="773"/>
      <c r="G35" s="773"/>
      <c r="H35" s="773"/>
      <c r="I35" s="773"/>
      <c r="J35" s="773"/>
      <c r="K35" s="773"/>
      <c r="L35" s="773"/>
      <c r="M35" s="773"/>
      <c r="N35" s="773"/>
      <c r="O35" s="773"/>
      <c r="P35" s="73"/>
      <c r="Q35" s="773" t="str">
        <f>translate!B25</f>
        <v>Tour 5</v>
      </c>
      <c r="R35" s="773"/>
      <c r="S35" s="773"/>
      <c r="T35" s="773"/>
      <c r="U35" s="773"/>
      <c r="V35" s="773"/>
      <c r="W35" s="773"/>
      <c r="X35" s="773"/>
      <c r="Y35" s="773"/>
      <c r="Z35" s="197"/>
      <c r="AA35" s="251"/>
    </row>
    <row r="36" spans="2:27" ht="15" customHeight="1">
      <c r="B36" s="196"/>
      <c r="C36" s="73"/>
      <c r="D36" s="204"/>
      <c r="E36" s="142"/>
      <c r="F36" s="214" t="s">
        <v>103</v>
      </c>
      <c r="G36" s="214"/>
      <c r="H36" s="214" t="str">
        <f>translate!$B$9</f>
        <v>Joueur</v>
      </c>
      <c r="I36" s="770" t="str">
        <f>translate!$B$14</f>
        <v>Points</v>
      </c>
      <c r="J36" s="770"/>
      <c r="K36" s="216" t="str">
        <f>translate!$B$15</f>
        <v>Rep</v>
      </c>
      <c r="L36" s="215" t="str">
        <f>translate!$B$16</f>
        <v>Série</v>
      </c>
      <c r="M36" s="215" t="str">
        <f>translate!$B$17</f>
        <v>MP</v>
      </c>
      <c r="N36" s="215" t="str">
        <f>translate!$B$18</f>
        <v>PM</v>
      </c>
      <c r="O36" s="217"/>
      <c r="P36" s="73"/>
      <c r="Q36" s="204"/>
      <c r="R36" s="214" t="s">
        <v>103</v>
      </c>
      <c r="S36" s="214" t="str">
        <f>translate!$B$9</f>
        <v>Joueur</v>
      </c>
      <c r="T36" s="215" t="str">
        <f>translate!$B$14</f>
        <v>Points</v>
      </c>
      <c r="U36" s="216" t="str">
        <f>translate!$B$15</f>
        <v>Rep</v>
      </c>
      <c r="V36" s="215" t="str">
        <f>translate!$B$16</f>
        <v>Série</v>
      </c>
      <c r="W36" s="215" t="str">
        <f>translate!$B$17</f>
        <v>MP</v>
      </c>
      <c r="X36" s="215" t="str">
        <f>translate!$B$18</f>
        <v>PM</v>
      </c>
      <c r="Y36" s="217"/>
      <c r="Z36" s="197"/>
      <c r="AA36" s="251"/>
    </row>
    <row r="37" spans="2:27" ht="12.75">
      <c r="B37" s="196"/>
      <c r="C37" s="73"/>
      <c r="D37" s="777" t="str">
        <f>translate!$B$26</f>
        <v>Table 1</v>
      </c>
      <c r="E37" s="778"/>
      <c r="F37" s="149"/>
      <c r="G37" s="771">
        <f>T('Runden - Tours'!E18)</f>
      </c>
      <c r="H37" s="772"/>
      <c r="I37" s="767"/>
      <c r="J37" s="767"/>
      <c r="K37" s="775"/>
      <c r="L37" s="619"/>
      <c r="M37" s="227">
        <f>IF(ISNUMBER(calculations!P9),FIXED(ROUNDDOWN(calculations!P9,calculations!$G$2),calculations!$G$2),"")</f>
      </c>
      <c r="N37" s="590">
        <f>IF(ISNUMBER(calculations!Q9),calculations!Q9,"")</f>
      </c>
      <c r="O37" s="144"/>
      <c r="P37" s="73"/>
      <c r="Q37" s="774" t="str">
        <f>translate!$B$26</f>
        <v>Table 1</v>
      </c>
      <c r="R37" s="149"/>
      <c r="S37" s="228">
        <f>T('Runden - Tours'!E19)</f>
      </c>
      <c r="T37" s="619"/>
      <c r="U37" s="775"/>
      <c r="V37" s="619"/>
      <c r="W37" s="227">
        <f>IF(ISNUMBER(calculations!F13),FIXED(ROUNDDOWN(calculations!F13,calculations!$G$2),calculations!$G$2),"")</f>
      </c>
      <c r="X37" s="590">
        <f>IF(ISNUMBER(calculations!G13),calculations!G13,"")</f>
      </c>
      <c r="Y37" s="144"/>
      <c r="Z37" s="197"/>
      <c r="AA37" s="251"/>
    </row>
    <row r="38" spans="2:27" ht="12.75">
      <c r="B38" s="196"/>
      <c r="C38" s="73"/>
      <c r="D38" s="777"/>
      <c r="E38" s="778"/>
      <c r="F38" s="149"/>
      <c r="G38" s="771">
        <f>T('Runden - Tours'!E21)</f>
      </c>
      <c r="H38" s="772"/>
      <c r="I38" s="767"/>
      <c r="J38" s="767"/>
      <c r="K38" s="776"/>
      <c r="L38" s="619"/>
      <c r="M38" s="227">
        <f>IF(ISNUMBER(calculations!P10),FIXED(ROUNDDOWN(calculations!P10,calculations!$G$2),calculations!$G$2),"")</f>
      </c>
      <c r="N38" s="590">
        <f>IF(ISNUMBER(calculations!Q10),calculations!Q10,"")</f>
      </c>
      <c r="O38" s="144"/>
      <c r="P38" s="73"/>
      <c r="Q38" s="774"/>
      <c r="R38" s="149"/>
      <c r="S38" s="228">
        <f>T('Runden - Tours'!E20)</f>
      </c>
      <c r="T38" s="619"/>
      <c r="U38" s="776"/>
      <c r="V38" s="619"/>
      <c r="W38" s="227">
        <f>IF(ISNUMBER(calculations!F14),FIXED(ROUNDDOWN(calculations!F14,calculations!$G$2),calculations!$G$2),"")</f>
      </c>
      <c r="X38" s="590">
        <f>IF(ISNUMBER(calculations!G14),calculations!G14,"")</f>
      </c>
      <c r="Y38" s="144"/>
      <c r="Z38" s="197"/>
      <c r="AA38" s="251"/>
    </row>
    <row r="39" spans="2:27" ht="12.75">
      <c r="B39" s="196"/>
      <c r="C39" s="73"/>
      <c r="D39" s="220"/>
      <c r="E39" s="63"/>
      <c r="F39" s="102"/>
      <c r="G39" s="102"/>
      <c r="H39" s="63"/>
      <c r="I39" s="206"/>
      <c r="J39" s="206"/>
      <c r="K39" s="221"/>
      <c r="L39" s="206"/>
      <c r="M39" s="224"/>
      <c r="N39" s="226"/>
      <c r="O39" s="144"/>
      <c r="P39" s="73"/>
      <c r="Q39" s="220"/>
      <c r="R39" s="102"/>
      <c r="S39" s="63"/>
      <c r="T39" s="206"/>
      <c r="U39" s="221"/>
      <c r="V39" s="222"/>
      <c r="W39" s="213"/>
      <c r="X39" s="213"/>
      <c r="Y39" s="144"/>
      <c r="Z39" s="197"/>
      <c r="AA39" s="251"/>
    </row>
    <row r="40" spans="2:27" ht="12.75">
      <c r="B40" s="196"/>
      <c r="C40" s="73"/>
      <c r="D40" s="777" t="str">
        <f>translate!$B$27</f>
        <v>Table 2</v>
      </c>
      <c r="E40" s="778"/>
      <c r="F40" s="149"/>
      <c r="G40" s="771">
        <f>T('Runden - Tours'!E17)</f>
      </c>
      <c r="H40" s="772"/>
      <c r="I40" s="767"/>
      <c r="J40" s="767"/>
      <c r="K40" s="775"/>
      <c r="L40" s="619"/>
      <c r="M40" s="227">
        <f>IF(ISNUMBER(calculations!P5),FIXED(ROUNDDOWN(calculations!P5,calculations!$G$2),calculations!$G$2),"")</f>
      </c>
      <c r="N40" s="590">
        <f>IF(ISNUMBER(calculations!Q5),calculations!Q5,"")</f>
      </c>
      <c r="O40" s="144"/>
      <c r="P40" s="73"/>
      <c r="Q40" s="774" t="str">
        <f>translate!$B$27</f>
        <v>Table 2</v>
      </c>
      <c r="R40" s="149"/>
      <c r="S40" s="228">
        <f>T('Runden - Tours'!E21)</f>
      </c>
      <c r="T40" s="619"/>
      <c r="U40" s="775"/>
      <c r="V40" s="619"/>
      <c r="W40" s="227">
        <f>IF(ISNUMBER(calculations!F21),FIXED(ROUNDDOWN(calculations!F21,calculations!$G$2),calculations!$G$2),"")</f>
      </c>
      <c r="X40" s="590">
        <f>IF(ISNUMBER(calculations!G21),calculations!G21,"")</f>
      </c>
      <c r="Y40" s="144"/>
      <c r="Z40" s="197"/>
      <c r="AA40" s="251"/>
    </row>
    <row r="41" spans="2:27" ht="12.75">
      <c r="B41" s="196"/>
      <c r="C41" s="73"/>
      <c r="D41" s="777"/>
      <c r="E41" s="778"/>
      <c r="F41" s="149"/>
      <c r="G41" s="771">
        <f>T('Runden - Tours'!E20)</f>
      </c>
      <c r="H41" s="772"/>
      <c r="I41" s="767"/>
      <c r="J41" s="767"/>
      <c r="K41" s="776"/>
      <c r="L41" s="619"/>
      <c r="M41" s="227">
        <f>IF(ISNUMBER(calculations!P6),FIXED(ROUNDDOWN(calculations!P6,calculations!$G$2),calculations!$G$2),"")</f>
      </c>
      <c r="N41" s="590">
        <f>IF(ISNUMBER(calculations!Q6),calculations!Q6,"")</f>
      </c>
      <c r="O41" s="144"/>
      <c r="P41" s="73"/>
      <c r="Q41" s="774"/>
      <c r="R41" s="149"/>
      <c r="S41" s="228">
        <f>T('Runden - Tours'!E22)</f>
      </c>
      <c r="T41" s="619"/>
      <c r="U41" s="776"/>
      <c r="V41" s="619"/>
      <c r="W41" s="227">
        <f>IF(ISNUMBER(calculations!F22),FIXED(ROUNDDOWN(calculations!F22,calculations!$G$2),calculations!$G$2),"")</f>
      </c>
      <c r="X41" s="590">
        <f>IF(ISNUMBER(calculations!G22),calculations!G22,"")</f>
      </c>
      <c r="Y41" s="144"/>
      <c r="Z41" s="197"/>
      <c r="AA41" s="251"/>
    </row>
    <row r="42" spans="2:27" ht="12.75">
      <c r="B42" s="196"/>
      <c r="C42" s="73"/>
      <c r="D42" s="220"/>
      <c r="E42" s="63"/>
      <c r="F42" s="102"/>
      <c r="G42" s="102"/>
      <c r="H42" s="63"/>
      <c r="I42" s="206"/>
      <c r="J42" s="206"/>
      <c r="K42" s="221"/>
      <c r="L42" s="206"/>
      <c r="M42" s="224"/>
      <c r="N42" s="226"/>
      <c r="O42" s="144"/>
      <c r="P42" s="73"/>
      <c r="Q42" s="220"/>
      <c r="R42" s="102"/>
      <c r="S42" s="63"/>
      <c r="T42" s="206"/>
      <c r="U42" s="221"/>
      <c r="V42" s="222"/>
      <c r="W42" s="213"/>
      <c r="X42" s="213"/>
      <c r="Y42" s="144"/>
      <c r="Z42" s="197"/>
      <c r="AA42" s="251"/>
    </row>
    <row r="43" spans="2:27" ht="12.75">
      <c r="B43" s="196"/>
      <c r="C43" s="73"/>
      <c r="D43" s="777" t="str">
        <f>translate!$B$28</f>
        <v>Table 3</v>
      </c>
      <c r="E43" s="778"/>
      <c r="F43" s="149"/>
      <c r="G43" s="771">
        <f>T('Runden - Tours'!E19)</f>
      </c>
      <c r="H43" s="772"/>
      <c r="I43" s="767"/>
      <c r="J43" s="767"/>
      <c r="K43" s="775"/>
      <c r="L43" s="619"/>
      <c r="M43" s="227">
        <f>IF(ISNUMBER(calculations!P13),FIXED(ROUNDDOWN(calculations!P13,calculations!$G$2),calculations!$G$2),"")</f>
      </c>
      <c r="N43" s="590">
        <f>IF(ISNUMBER(calculations!Q13),calculations!Q13,"")</f>
      </c>
      <c r="O43" s="144"/>
      <c r="P43" s="73"/>
      <c r="Q43" s="774" t="str">
        <f>translate!$B$28</f>
        <v>Table 3</v>
      </c>
      <c r="R43" s="149"/>
      <c r="S43" s="228">
        <f>T('Runden - Tours'!E17)</f>
      </c>
      <c r="T43" s="619"/>
      <c r="U43" s="775"/>
      <c r="V43" s="619"/>
      <c r="W43" s="227">
        <f>IF(ISNUMBER(calculations!F5),FIXED(ROUNDDOWN(calculations!F5,calculations!$G$2),calculations!$G$2),"")</f>
      </c>
      <c r="X43" s="590">
        <f>IF(ISNUMBER(calculations!G5),calculations!G5,"")</f>
      </c>
      <c r="Y43" s="144"/>
      <c r="Z43" s="197"/>
      <c r="AA43" s="251"/>
    </row>
    <row r="44" spans="2:27" ht="12.75">
      <c r="B44" s="196"/>
      <c r="C44" s="73"/>
      <c r="D44" s="777"/>
      <c r="E44" s="778"/>
      <c r="F44" s="149"/>
      <c r="G44" s="771">
        <f>T('Runden - Tours'!E22)</f>
      </c>
      <c r="H44" s="772"/>
      <c r="I44" s="767"/>
      <c r="J44" s="767"/>
      <c r="K44" s="776"/>
      <c r="L44" s="619"/>
      <c r="M44" s="227">
        <f>IF(ISNUMBER(calculations!P14),FIXED(ROUNDDOWN(calculations!P14,calculations!$G$2),calculations!$G$2),"")</f>
      </c>
      <c r="N44" s="590">
        <f>IF(ISNUMBER(calculations!Q14),calculations!Q14,"")</f>
      </c>
      <c r="O44" s="144"/>
      <c r="P44" s="73"/>
      <c r="Q44" s="774"/>
      <c r="R44" s="149"/>
      <c r="S44" s="228">
        <f>T('Runden - Tours'!E18)</f>
      </c>
      <c r="T44" s="619"/>
      <c r="U44" s="776"/>
      <c r="V44" s="619"/>
      <c r="W44" s="227">
        <f>IF(ISNUMBER(calculations!F6),FIXED(ROUNDDOWN(calculations!F6,calculations!$G$2),calculations!$G$2),"")</f>
      </c>
      <c r="X44" s="590">
        <f>IF(ISNUMBER(calculations!G6),calculations!G6,"")</f>
      </c>
      <c r="Y44" s="144"/>
      <c r="Z44" s="197"/>
      <c r="AA44" s="251"/>
    </row>
    <row r="45" spans="2:27" ht="4.5" customHeight="1">
      <c r="B45" s="196"/>
      <c r="C45" s="73"/>
      <c r="D45" s="209"/>
      <c r="E45" s="64"/>
      <c r="F45" s="64"/>
      <c r="G45" s="64"/>
      <c r="H45" s="64"/>
      <c r="I45" s="210"/>
      <c r="J45" s="210"/>
      <c r="K45" s="210"/>
      <c r="L45" s="210"/>
      <c r="M45" s="210"/>
      <c r="N45" s="210"/>
      <c r="O45" s="223"/>
      <c r="P45" s="73"/>
      <c r="Q45" s="209"/>
      <c r="R45" s="64"/>
      <c r="S45" s="64"/>
      <c r="T45" s="210"/>
      <c r="U45" s="210"/>
      <c r="V45" s="210"/>
      <c r="W45" s="64"/>
      <c r="X45" s="64"/>
      <c r="Y45" s="223"/>
      <c r="Z45" s="197"/>
      <c r="AA45" s="251"/>
    </row>
    <row r="46" spans="2:27" ht="12.75">
      <c r="B46" s="200"/>
      <c r="C46" s="201"/>
      <c r="D46" s="201"/>
      <c r="E46" s="201"/>
      <c r="F46" s="201"/>
      <c r="G46" s="201"/>
      <c r="H46" s="201"/>
      <c r="I46" s="249"/>
      <c r="J46" s="249"/>
      <c r="K46" s="249"/>
      <c r="L46" s="249"/>
      <c r="M46" s="249"/>
      <c r="N46" s="249"/>
      <c r="O46" s="201"/>
      <c r="P46" s="201"/>
      <c r="Q46" s="201"/>
      <c r="R46" s="201"/>
      <c r="S46" s="201"/>
      <c r="T46" s="201"/>
      <c r="U46" s="201"/>
      <c r="V46" s="201"/>
      <c r="W46" s="201"/>
      <c r="X46" s="201"/>
      <c r="Y46" s="201"/>
      <c r="Z46" s="203"/>
      <c r="AA46" s="251"/>
    </row>
    <row r="47" spans="3:44" ht="3.75" customHeight="1">
      <c r="C47" s="251"/>
      <c r="D47" s="251"/>
      <c r="E47" s="251"/>
      <c r="F47" s="251"/>
      <c r="G47" s="251"/>
      <c r="H47" s="251"/>
      <c r="I47" s="254"/>
      <c r="J47" s="254"/>
      <c r="K47" s="254"/>
      <c r="L47" s="254"/>
      <c r="M47" s="254"/>
      <c r="N47" s="254"/>
      <c r="O47" s="251"/>
      <c r="P47" s="251"/>
      <c r="Q47" s="251"/>
      <c r="R47" s="251"/>
      <c r="S47" s="251"/>
      <c r="T47" s="251"/>
      <c r="U47" s="251"/>
      <c r="V47" s="251"/>
      <c r="W47" s="251"/>
      <c r="X47" s="251"/>
      <c r="Y47" s="251"/>
      <c r="Z47" s="251"/>
      <c r="AA47" s="251"/>
      <c r="AE47" s="124"/>
      <c r="AF47" s="124"/>
      <c r="AG47" s="124"/>
      <c r="AH47" s="124"/>
      <c r="AJ47" s="125"/>
      <c r="AK47" s="125"/>
      <c r="AL47" s="125"/>
      <c r="AM47" s="125"/>
      <c r="AN47" s="125"/>
      <c r="AO47" s="125"/>
      <c r="AP47" s="125"/>
      <c r="AQ47" s="125"/>
      <c r="AR47" s="125"/>
    </row>
    <row r="48" spans="31:44" ht="12.75">
      <c r="AE48" s="124"/>
      <c r="AF48" s="124"/>
      <c r="AG48" s="124"/>
      <c r="AH48" s="124"/>
      <c r="AJ48" s="126"/>
      <c r="AK48" s="126"/>
      <c r="AL48" s="126"/>
      <c r="AM48" s="126"/>
      <c r="AN48" s="126"/>
      <c r="AO48" s="126"/>
      <c r="AP48" s="126"/>
      <c r="AQ48" s="126"/>
      <c r="AR48" s="126"/>
    </row>
    <row r="49" spans="5:44" ht="12.75">
      <c r="E49" s="133"/>
      <c r="F49" s="133"/>
      <c r="G49" s="133"/>
      <c r="H49" s="133"/>
      <c r="I49" s="134"/>
      <c r="J49" s="134"/>
      <c r="K49" s="134"/>
      <c r="L49" s="134"/>
      <c r="AE49" s="124"/>
      <c r="AF49" s="124"/>
      <c r="AG49" s="124"/>
      <c r="AH49" s="124"/>
      <c r="AJ49" s="125"/>
      <c r="AK49" s="125"/>
      <c r="AL49" s="125"/>
      <c r="AM49" s="125"/>
      <c r="AN49" s="125"/>
      <c r="AO49" s="125"/>
      <c r="AP49" s="125"/>
      <c r="AQ49" s="125"/>
      <c r="AR49" s="125"/>
    </row>
    <row r="50" spans="5:44" ht="12.75">
      <c r="E50" s="133"/>
      <c r="F50" s="133"/>
      <c r="G50" s="133"/>
      <c r="H50" s="133"/>
      <c r="I50" s="134"/>
      <c r="J50" s="134"/>
      <c r="K50" s="134"/>
      <c r="L50" s="134"/>
      <c r="M50" s="129"/>
      <c r="AE50" s="124"/>
      <c r="AF50" s="124"/>
      <c r="AG50" s="124"/>
      <c r="AH50" s="124"/>
      <c r="AJ50" s="130"/>
      <c r="AK50" s="130"/>
      <c r="AL50" s="130"/>
      <c r="AM50" s="130"/>
      <c r="AN50" s="130"/>
      <c r="AO50" s="130"/>
      <c r="AP50" s="130"/>
      <c r="AQ50" s="130"/>
      <c r="AR50" s="130"/>
    </row>
    <row r="51" spans="5:44" ht="12.75">
      <c r="E51" s="133"/>
      <c r="F51" s="133"/>
      <c r="G51" s="133"/>
      <c r="H51" s="133"/>
      <c r="I51" s="134"/>
      <c r="J51" s="134"/>
      <c r="K51" s="134"/>
      <c r="L51" s="134"/>
      <c r="M51" s="129"/>
      <c r="AE51" s="131"/>
      <c r="AF51" s="131"/>
      <c r="AG51" s="131"/>
      <c r="AH51" s="131"/>
      <c r="AJ51" s="125"/>
      <c r="AK51" s="125"/>
      <c r="AL51" s="125"/>
      <c r="AM51" s="125"/>
      <c r="AN51" s="125"/>
      <c r="AO51" s="125"/>
      <c r="AP51" s="125"/>
      <c r="AQ51" s="125"/>
      <c r="AR51" s="125"/>
    </row>
    <row r="52" spans="5:13" ht="12.75">
      <c r="E52" s="133"/>
      <c r="F52" s="133"/>
      <c r="G52" s="133"/>
      <c r="H52" s="133"/>
      <c r="I52" s="134"/>
      <c r="J52" s="134"/>
      <c r="K52" s="134"/>
      <c r="L52" s="134"/>
      <c r="M52" s="129"/>
    </row>
    <row r="53" spans="5:13" ht="12.75">
      <c r="E53" s="133"/>
      <c r="F53" s="133"/>
      <c r="G53" s="133"/>
      <c r="H53" s="133"/>
      <c r="I53" s="235"/>
      <c r="J53" s="235"/>
      <c r="K53" s="134"/>
      <c r="L53" s="134"/>
      <c r="M53" s="129"/>
    </row>
    <row r="54" spans="5:13" ht="12.75">
      <c r="E54" s="133"/>
      <c r="F54" s="133"/>
      <c r="G54" s="133"/>
      <c r="H54" s="133"/>
      <c r="I54" s="134"/>
      <c r="J54" s="134"/>
      <c r="K54" s="134"/>
      <c r="L54" s="134"/>
      <c r="M54" s="129"/>
    </row>
    <row r="55" spans="5:13" ht="12.75">
      <c r="E55" s="133"/>
      <c r="F55" s="133"/>
      <c r="G55" s="133"/>
      <c r="H55" s="133"/>
      <c r="I55" s="134"/>
      <c r="J55" s="134"/>
      <c r="K55" s="134"/>
      <c r="L55" s="134"/>
      <c r="M55" s="129"/>
    </row>
    <row r="56" spans="5:42" ht="12.75">
      <c r="E56" s="133"/>
      <c r="F56" s="133"/>
      <c r="G56" s="133"/>
      <c r="H56" s="133"/>
      <c r="I56" s="134"/>
      <c r="J56" s="134"/>
      <c r="K56" s="134"/>
      <c r="L56" s="134"/>
      <c r="M56" s="129"/>
      <c r="AC56" s="131"/>
      <c r="AD56" s="131"/>
      <c r="AE56" s="131"/>
      <c r="AF56" s="131"/>
      <c r="AH56" s="132"/>
      <c r="AI56" s="132"/>
      <c r="AJ56" s="132"/>
      <c r="AK56" s="132"/>
      <c r="AL56" s="132"/>
      <c r="AM56" s="132"/>
      <c r="AN56" s="132"/>
      <c r="AO56" s="132"/>
      <c r="AP56" s="132"/>
    </row>
    <row r="57" spans="5:42" ht="12.75">
      <c r="E57" s="133"/>
      <c r="F57" s="133"/>
      <c r="G57" s="133"/>
      <c r="H57" s="133"/>
      <c r="I57" s="134"/>
      <c r="J57" s="134"/>
      <c r="K57" s="134"/>
      <c r="L57" s="134"/>
      <c r="M57" s="129"/>
      <c r="AC57" s="124"/>
      <c r="AD57" s="124"/>
      <c r="AE57" s="124"/>
      <c r="AF57" s="124"/>
      <c r="AH57" s="125"/>
      <c r="AI57" s="125"/>
      <c r="AJ57" s="125"/>
      <c r="AK57" s="125"/>
      <c r="AL57" s="125"/>
      <c r="AM57" s="125"/>
      <c r="AN57" s="125"/>
      <c r="AO57" s="125"/>
      <c r="AP57" s="125"/>
    </row>
    <row r="58" spans="5:42" ht="12.75">
      <c r="E58" s="133"/>
      <c r="F58" s="133"/>
      <c r="G58" s="133"/>
      <c r="H58" s="133"/>
      <c r="I58" s="134"/>
      <c r="J58" s="134"/>
      <c r="K58" s="134"/>
      <c r="L58" s="134"/>
      <c r="M58" s="129"/>
      <c r="AC58" s="124"/>
      <c r="AD58" s="124"/>
      <c r="AE58" s="124"/>
      <c r="AF58" s="124"/>
      <c r="AH58" s="125"/>
      <c r="AI58" s="125"/>
      <c r="AJ58" s="125"/>
      <c r="AK58" s="125"/>
      <c r="AL58" s="125"/>
      <c r="AM58" s="125"/>
      <c r="AN58" s="125"/>
      <c r="AO58" s="125"/>
      <c r="AP58" s="125"/>
    </row>
    <row r="59" spans="5:13" ht="12.75">
      <c r="E59" s="133"/>
      <c r="F59" s="133"/>
      <c r="G59" s="133"/>
      <c r="H59" s="133"/>
      <c r="I59" s="134"/>
      <c r="J59" s="134"/>
      <c r="K59" s="134"/>
      <c r="L59" s="134"/>
      <c r="M59" s="129"/>
    </row>
    <row r="60" spans="5:13" ht="12.75">
      <c r="E60" s="133"/>
      <c r="F60" s="133"/>
      <c r="G60" s="133"/>
      <c r="H60" s="133"/>
      <c r="I60" s="134"/>
      <c r="J60" s="134"/>
      <c r="K60" s="134"/>
      <c r="L60" s="134"/>
      <c r="M60" s="129"/>
    </row>
    <row r="61" spans="5:13" ht="12.75">
      <c r="E61" s="133"/>
      <c r="F61" s="133"/>
      <c r="G61" s="133"/>
      <c r="H61" s="133"/>
      <c r="I61" s="134"/>
      <c r="J61" s="134"/>
      <c r="K61" s="134"/>
      <c r="L61" s="134"/>
      <c r="M61" s="129"/>
    </row>
    <row r="62" spans="5:13" ht="12.75">
      <c r="E62" s="133"/>
      <c r="F62" s="133"/>
      <c r="G62" s="133"/>
      <c r="H62" s="133"/>
      <c r="I62" s="134"/>
      <c r="J62" s="134"/>
      <c r="K62" s="134"/>
      <c r="L62" s="134"/>
      <c r="M62" s="129"/>
    </row>
    <row r="63" spans="5:13" ht="12.75">
      <c r="E63" s="133"/>
      <c r="F63" s="133"/>
      <c r="G63" s="133"/>
      <c r="H63" s="133"/>
      <c r="I63" s="134"/>
      <c r="J63" s="134"/>
      <c r="K63" s="134"/>
      <c r="L63" s="134"/>
      <c r="M63" s="129"/>
    </row>
    <row r="64" spans="5:12" ht="12.75">
      <c r="E64" s="133"/>
      <c r="F64" s="133"/>
      <c r="G64" s="133"/>
      <c r="H64" s="133"/>
      <c r="I64" s="134"/>
      <c r="J64" s="134"/>
      <c r="K64" s="134"/>
      <c r="L64" s="134"/>
    </row>
    <row r="65" spans="5:12" ht="12.75">
      <c r="E65" s="133"/>
      <c r="F65" s="133"/>
      <c r="G65" s="133"/>
      <c r="H65" s="133"/>
      <c r="I65" s="134"/>
      <c r="J65" s="134"/>
      <c r="K65" s="134"/>
      <c r="L65" s="134"/>
    </row>
    <row r="66" spans="5:12" ht="12.75">
      <c r="E66" s="127"/>
      <c r="F66" s="127"/>
      <c r="G66" s="127"/>
      <c r="H66" s="127"/>
      <c r="I66" s="128"/>
      <c r="J66" s="128"/>
      <c r="K66" s="128"/>
      <c r="L66" s="128"/>
    </row>
  </sheetData>
  <sheetProtection password="814D" sheet="1" objects="1" scenarios="1" selectLockedCells="1"/>
  <mergeCells count="88">
    <mergeCell ref="U43:U44"/>
    <mergeCell ref="U26:U27"/>
    <mergeCell ref="G43:H43"/>
    <mergeCell ref="G44:H44"/>
    <mergeCell ref="G33:H33"/>
    <mergeCell ref="G37:H37"/>
    <mergeCell ref="G38:H38"/>
    <mergeCell ref="G40:H40"/>
    <mergeCell ref="G41:H41"/>
    <mergeCell ref="D43:E44"/>
    <mergeCell ref="G26:H26"/>
    <mergeCell ref="Q32:Q33"/>
    <mergeCell ref="Q37:Q38"/>
    <mergeCell ref="D35:O35"/>
    <mergeCell ref="G30:H30"/>
    <mergeCell ref="D26:E27"/>
    <mergeCell ref="D29:E30"/>
    <mergeCell ref="D32:E33"/>
    <mergeCell ref="D37:E38"/>
    <mergeCell ref="D40:E41"/>
    <mergeCell ref="U15:U16"/>
    <mergeCell ref="U18:U19"/>
    <mergeCell ref="U21:U22"/>
    <mergeCell ref="U29:U30"/>
    <mergeCell ref="U40:U41"/>
    <mergeCell ref="U37:U38"/>
    <mergeCell ref="Q15:Q16"/>
    <mergeCell ref="Q18:Q19"/>
    <mergeCell ref="Q21:Q22"/>
    <mergeCell ref="Q43:Q44"/>
    <mergeCell ref="K43:K44"/>
    <mergeCell ref="K26:K27"/>
    <mergeCell ref="K29:K30"/>
    <mergeCell ref="K32:K33"/>
    <mergeCell ref="K40:K41"/>
    <mergeCell ref="K37:K38"/>
    <mergeCell ref="Q40:Q41"/>
    <mergeCell ref="Q26:Q27"/>
    <mergeCell ref="Q29:Q30"/>
    <mergeCell ref="Q24:Y24"/>
    <mergeCell ref="Q35:Y35"/>
    <mergeCell ref="U32:U33"/>
    <mergeCell ref="E22:G22"/>
    <mergeCell ref="E17:G17"/>
    <mergeCell ref="E18:G18"/>
    <mergeCell ref="E19:G19"/>
    <mergeCell ref="G32:H32"/>
    <mergeCell ref="E20:G20"/>
    <mergeCell ref="E21:G21"/>
    <mergeCell ref="H17:I17"/>
    <mergeCell ref="H18:I18"/>
    <mergeCell ref="H19:I19"/>
    <mergeCell ref="H20:I20"/>
    <mergeCell ref="H21:I21"/>
    <mergeCell ref="H22:I22"/>
    <mergeCell ref="G27:H27"/>
    <mergeCell ref="G29:H29"/>
    <mergeCell ref="D24:O24"/>
    <mergeCell ref="D1:Y1"/>
    <mergeCell ref="I40:J40"/>
    <mergeCell ref="I41:J41"/>
    <mergeCell ref="I43:J43"/>
    <mergeCell ref="I44:J44"/>
    <mergeCell ref="I9:J9"/>
    <mergeCell ref="I32:J32"/>
    <mergeCell ref="I33:J33"/>
    <mergeCell ref="I36:J36"/>
    <mergeCell ref="I37:J37"/>
    <mergeCell ref="I38:J38"/>
    <mergeCell ref="I26:J26"/>
    <mergeCell ref="I27:J27"/>
    <mergeCell ref="I29:J29"/>
    <mergeCell ref="I25:J25"/>
    <mergeCell ref="I30:J30"/>
    <mergeCell ref="S8:Y10"/>
    <mergeCell ref="R7:R9"/>
    <mergeCell ref="D14:O14"/>
    <mergeCell ref="S4:Y6"/>
    <mergeCell ref="S3:Y3"/>
    <mergeCell ref="I10:N10"/>
    <mergeCell ref="Q13:Y13"/>
    <mergeCell ref="I3:N3"/>
    <mergeCell ref="I7:N7"/>
    <mergeCell ref="I8:N8"/>
    <mergeCell ref="D3:G9"/>
    <mergeCell ref="I4:K4"/>
    <mergeCell ref="M4:N4"/>
    <mergeCell ref="I6:N6"/>
  </mergeCells>
  <dataValidations count="12">
    <dataValidation type="whole" allowBlank="1" showInputMessage="1" showErrorMessage="1" sqref="L11 I11:J11">
      <formula1>1</formula1>
      <formula2>1000</formula2>
    </dataValidation>
    <dataValidation type="list" allowBlank="1" showInputMessage="1" showErrorMessage="1" sqref="I3:N3">
      <formula1>ClubsList</formula1>
    </dataValidation>
    <dataValidation type="date" operator="equal" allowBlank="1" sqref="AN51">
      <formula1>0</formula1>
    </dataValidation>
    <dataValidation type="list" allowBlank="1" showInputMessage="1" showErrorMessage="1" sqref="R43:R44 R40:R41 F43:F44 F40:F41 F37:F38 F32:F33 F29:F30 F26:F27 R37:R38 R32:R33 R29:R30 R26:R27 R21:R22 R18:R19 R15:R16">
      <formula1>"Forfait"</formula1>
    </dataValidation>
    <dataValidation type="list" operator="equal" allowBlank="1" sqref="I10:N10">
      <formula1>ListeTable</formula1>
    </dataValidation>
    <dataValidation type="list" operator="equal" allowBlank="1" sqref="I8:N8">
      <formula1>ListeTour</formula1>
    </dataValidation>
    <dataValidation type="list" operator="equal" allowBlank="1" sqref="I6:N6">
      <formula1>ListeDiscipline</formula1>
    </dataValidation>
    <dataValidation type="list" operator="equal" allowBlank="1" sqref="I7:N7">
      <formula1>ListeCatégorie</formula1>
    </dataValidation>
    <dataValidation type="whole" operator="greaterThanOrEqual" allowBlank="1" showInputMessage="1" showErrorMessage="1" sqref="I29:L30 I26:L27 T43:V44 T40:V41 T37:V38 T32:V33 T29:V30 T26:V27 I32:L33 U21 U18 I43:L44 I40:L41 I37:L38 T21:T22 V21:V22 T18:T19 V18:V19 T15:T16 V15:V16 U15">
      <formula1>0</formula1>
    </dataValidation>
    <dataValidation type="whole" operator="greaterThan" allowBlank="1" showInputMessage="1" showErrorMessage="1" sqref="I9:J9 L9">
      <formula1>0</formula1>
    </dataValidation>
    <dataValidation type="date" allowBlank="1" sqref="I4:K4">
      <formula1>40544</formula1>
      <formula2>45658</formula2>
    </dataValidation>
    <dataValidation type="list" allowBlank="1" showInputMessage="1" showErrorMessage="1" sqref="H17:I22">
      <formula1>ListeVille</formula1>
    </dataValidation>
  </dataValidations>
  <printOptions horizontalCentered="1" verticalCentered="1"/>
  <pageMargins left="0.7086614173228347" right="0.7086614173228347" top="0.7874015748031497" bottom="0.7874015748031497" header="0.31496062992125984" footer="0.31496062992125984"/>
  <pageSetup horizontalDpi="600" verticalDpi="600" orientation="landscape" paperSize="9" scale="86" r:id="rId3"/>
  <drawing r:id="rId2"/>
  <legacyDrawing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B2:AN34"/>
  <sheetViews>
    <sheetView showGridLines="0" showRowColHeaders="0" zoomScalePageLayoutView="0" workbookViewId="0" topLeftCell="A1">
      <selection activeCell="AA30" sqref="AA30"/>
    </sheetView>
  </sheetViews>
  <sheetFormatPr defaultColWidth="2.7109375" defaultRowHeight="12.75"/>
  <cols>
    <col min="1" max="1" width="3.7109375" style="105" customWidth="1"/>
    <col min="2" max="2" width="0.85546875" style="105" customWidth="1"/>
    <col min="3" max="3" width="21.7109375" style="105" customWidth="1"/>
    <col min="4" max="37" width="2.7109375" style="105" customWidth="1"/>
    <col min="38" max="38" width="21.7109375" style="105" customWidth="1"/>
    <col min="39" max="40" width="0.85546875" style="105" customWidth="1"/>
    <col min="41" max="16384" width="2.7109375" style="105" customWidth="1"/>
  </cols>
  <sheetData>
    <row r="1" ht="12.75" customHeight="1"/>
    <row r="2" spans="2:39" ht="3.75" customHeight="1">
      <c r="B2" s="190"/>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3"/>
    </row>
    <row r="3" spans="2:40" ht="15.75" customHeight="1">
      <c r="B3" s="196"/>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197"/>
      <c r="AN3" s="251"/>
    </row>
    <row r="4" spans="2:40" ht="42.75" customHeight="1">
      <c r="B4" s="196"/>
      <c r="C4" s="782" t="str">
        <f>translate!J6</f>
        <v>  </v>
      </c>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529"/>
      <c r="AN4" s="251"/>
    </row>
    <row r="5" spans="2:40" ht="34.5" customHeight="1" thickBot="1">
      <c r="B5" s="196"/>
      <c r="C5" s="73"/>
      <c r="D5" s="828" t="str">
        <f>translate!B106</f>
        <v>Classement</v>
      </c>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533"/>
      <c r="AM5" s="529"/>
      <c r="AN5" s="251"/>
    </row>
    <row r="6" spans="2:40" s="628" customFormat="1" ht="19.5" customHeight="1" thickBot="1">
      <c r="B6" s="629"/>
      <c r="C6" s="630"/>
      <c r="D6" s="835" t="s">
        <v>104</v>
      </c>
      <c r="E6" s="836"/>
      <c r="F6" s="779" t="str">
        <f>translate!B9</f>
        <v>Joueur</v>
      </c>
      <c r="G6" s="780"/>
      <c r="H6" s="780"/>
      <c r="I6" s="780"/>
      <c r="J6" s="780"/>
      <c r="K6" s="780"/>
      <c r="L6" s="780"/>
      <c r="M6" s="780"/>
      <c r="N6" s="780"/>
      <c r="O6" s="780"/>
      <c r="P6" s="780"/>
      <c r="Q6" s="780"/>
      <c r="R6" s="781"/>
      <c r="S6" s="835" t="str">
        <f>translate!B18</f>
        <v>PM</v>
      </c>
      <c r="T6" s="836"/>
      <c r="U6" s="841" t="str">
        <f>translate!B20</f>
        <v>Pts</v>
      </c>
      <c r="V6" s="841"/>
      <c r="W6" s="842"/>
      <c r="X6" s="843" t="str">
        <f>translate!B15</f>
        <v>Rep</v>
      </c>
      <c r="Y6" s="841"/>
      <c r="Z6" s="842"/>
      <c r="AA6" s="843" t="str">
        <f>translate!B19</f>
        <v>MG</v>
      </c>
      <c r="AB6" s="841"/>
      <c r="AC6" s="841"/>
      <c r="AD6" s="842"/>
      <c r="AE6" s="843" t="str">
        <f>translate!B17</f>
        <v>MP</v>
      </c>
      <c r="AF6" s="841"/>
      <c r="AG6" s="841"/>
      <c r="AH6" s="842"/>
      <c r="AI6" s="843" t="s">
        <v>190</v>
      </c>
      <c r="AJ6" s="841"/>
      <c r="AK6" s="836"/>
      <c r="AL6" s="631"/>
      <c r="AM6" s="632"/>
      <c r="AN6" s="633"/>
    </row>
    <row r="7" spans="2:40" s="628" customFormat="1" ht="19.5" customHeight="1">
      <c r="B7" s="629"/>
      <c r="C7" s="630"/>
      <c r="D7" s="795">
        <f>VLOOKUP(SMALL(calculations!$AT$5:$AT$10,1),calculations!$AT$5:$BB$10,2,0)</f>
        <v>1</v>
      </c>
      <c r="E7" s="796"/>
      <c r="F7" s="829">
        <f>VLOOKUP(SMALL(calculations!$AT$5:$AT$10,1),calculations!$AT$5:$BB$10,3,0)</f>
      </c>
      <c r="G7" s="830"/>
      <c r="H7" s="830"/>
      <c r="I7" s="830"/>
      <c r="J7" s="830"/>
      <c r="K7" s="830"/>
      <c r="L7" s="830"/>
      <c r="M7" s="830"/>
      <c r="N7" s="830"/>
      <c r="O7" s="830"/>
      <c r="P7" s="830"/>
      <c r="Q7" s="830"/>
      <c r="R7" s="831"/>
      <c r="S7" s="837">
        <f>VLOOKUP(SMALL(calculations!$AT$5:$AT$10,1),calculations!$AT$5:$BB$10,4,0)</f>
        <v>0</v>
      </c>
      <c r="T7" s="838"/>
      <c r="U7" s="839">
        <f>VLOOKUP(SMALL(calculations!$AT$5:$AT$10,1),calculations!$AT$5:$BB$10,5,0)</f>
        <v>0</v>
      </c>
      <c r="V7" s="839"/>
      <c r="W7" s="840"/>
      <c r="X7" s="844">
        <f>VLOOKUP(SMALL(calculations!$AT$5:$AT$10,1),calculations!$AT$5:$BB$10,6,0)</f>
        <v>0</v>
      </c>
      <c r="Y7" s="839"/>
      <c r="Z7" s="840"/>
      <c r="AA7" s="844" t="str">
        <f>VLOOKUP(SMALL(calculations!$AT$5:$AT$10,1),calculations!$AT$5:$BB$10,7,0)</f>
        <v>0.00</v>
      </c>
      <c r="AB7" s="839"/>
      <c r="AC7" s="839"/>
      <c r="AD7" s="840"/>
      <c r="AE7" s="844" t="str">
        <f>VLOOKUP(SMALL(calculations!$AT$5:$AT$10,1),calculations!$AT$5:$BB$10,8,0)</f>
        <v>- - -</v>
      </c>
      <c r="AF7" s="839"/>
      <c r="AG7" s="839"/>
      <c r="AH7" s="840"/>
      <c r="AI7" s="844">
        <f>VLOOKUP(SMALL(calculations!$AT$5:$AT$10,1),calculations!$AT$5:$BB$10,9,0)</f>
        <v>0</v>
      </c>
      <c r="AJ7" s="839"/>
      <c r="AK7" s="845"/>
      <c r="AL7" s="630"/>
      <c r="AM7" s="634"/>
      <c r="AN7" s="633"/>
    </row>
    <row r="8" spans="2:40" s="628" customFormat="1" ht="19.5" customHeight="1">
      <c r="B8" s="629"/>
      <c r="C8" s="630"/>
      <c r="D8" s="797">
        <f>VLOOKUP(SMALL(calculations!$AT$5:$AT$10,2),calculations!$AT$5:$BB$10,2,0)</f>
        <v>1</v>
      </c>
      <c r="E8" s="798"/>
      <c r="F8" s="832">
        <f>VLOOKUP(SMALL(calculations!$AT$5:$AT$10,2),calculations!$AT$5:$BB$10,3,0)</f>
      </c>
      <c r="G8" s="833"/>
      <c r="H8" s="833"/>
      <c r="I8" s="833"/>
      <c r="J8" s="833"/>
      <c r="K8" s="833"/>
      <c r="L8" s="833"/>
      <c r="M8" s="833"/>
      <c r="N8" s="833"/>
      <c r="O8" s="833"/>
      <c r="P8" s="833"/>
      <c r="Q8" s="833"/>
      <c r="R8" s="834"/>
      <c r="S8" s="783">
        <f>VLOOKUP(SMALL(calculations!$AT$5:$AT$10,2),calculations!$AT$5:$BB$10,4,0)</f>
        <v>0</v>
      </c>
      <c r="T8" s="784"/>
      <c r="U8" s="788">
        <f>VLOOKUP(SMALL(calculations!$AT$5:$AT$10,2),calculations!$AT$5:$BB$10,5,0)</f>
        <v>0</v>
      </c>
      <c r="V8" s="788"/>
      <c r="W8" s="793"/>
      <c r="X8" s="787">
        <f>VLOOKUP(SMALL(calculations!$AT$5:$AT$10,2),calculations!$AT$5:$BB$10,6,0)</f>
        <v>0</v>
      </c>
      <c r="Y8" s="788"/>
      <c r="Z8" s="793"/>
      <c r="AA8" s="787" t="str">
        <f>VLOOKUP(SMALL(calculations!$AT$5:$AT$10,2),calculations!$AT$5:$BB$10,7,0)</f>
        <v>0.00</v>
      </c>
      <c r="AB8" s="788"/>
      <c r="AC8" s="788"/>
      <c r="AD8" s="793"/>
      <c r="AE8" s="787" t="str">
        <f>VLOOKUP(SMALL(calculations!$AT$5:$AT$10,2),calculations!$AT$5:$BB$10,8,0)</f>
        <v>- - -</v>
      </c>
      <c r="AF8" s="788"/>
      <c r="AG8" s="788"/>
      <c r="AH8" s="793"/>
      <c r="AI8" s="787">
        <f>VLOOKUP(SMALL(calculations!$AT$5:$AT$10,2),calculations!$AT$5:$BB$10,9,0)</f>
        <v>0</v>
      </c>
      <c r="AJ8" s="788"/>
      <c r="AK8" s="789"/>
      <c r="AL8" s="630"/>
      <c r="AM8" s="634"/>
      <c r="AN8" s="633"/>
    </row>
    <row r="9" spans="2:40" s="628" customFormat="1" ht="19.5" customHeight="1">
      <c r="B9" s="629"/>
      <c r="C9" s="630"/>
      <c r="D9" s="797">
        <f>VLOOKUP(SMALL(calculations!$AT$5:$AT$10,3),calculations!$AT$5:$BB$10,2,0)</f>
        <v>1</v>
      </c>
      <c r="E9" s="798"/>
      <c r="F9" s="832">
        <f>VLOOKUP(SMALL(calculations!$AT$5:$AT$10,3),calculations!$AT$5:$BB$10,3,0)</f>
      </c>
      <c r="G9" s="833"/>
      <c r="H9" s="833"/>
      <c r="I9" s="833"/>
      <c r="J9" s="833"/>
      <c r="K9" s="833"/>
      <c r="L9" s="833"/>
      <c r="M9" s="833"/>
      <c r="N9" s="833"/>
      <c r="O9" s="833"/>
      <c r="P9" s="833"/>
      <c r="Q9" s="833"/>
      <c r="R9" s="834"/>
      <c r="S9" s="783">
        <f>VLOOKUP(SMALL(calculations!$AT$5:$AT$10,3),calculations!$AT$5:$BB$10,4,0)</f>
        <v>0</v>
      </c>
      <c r="T9" s="784"/>
      <c r="U9" s="788">
        <f>VLOOKUP(SMALL(calculations!$AT$5:$AT$10,3),calculations!$AT$5:$BB$10,5,0)</f>
        <v>0</v>
      </c>
      <c r="V9" s="788"/>
      <c r="W9" s="793"/>
      <c r="X9" s="787">
        <f>VLOOKUP(SMALL(calculations!$AT$5:$AT$10,3),calculations!$AT$5:$BB$10,6,0)</f>
        <v>0</v>
      </c>
      <c r="Y9" s="788"/>
      <c r="Z9" s="793"/>
      <c r="AA9" s="787" t="str">
        <f>VLOOKUP(SMALL(calculations!$AT$5:$AT$10,3),calculations!$AT$5:$BB$10,7,0)</f>
        <v>0.00</v>
      </c>
      <c r="AB9" s="788"/>
      <c r="AC9" s="788"/>
      <c r="AD9" s="793"/>
      <c r="AE9" s="787" t="str">
        <f>VLOOKUP(SMALL(calculations!$AT$5:$AT$10,3),calculations!$AT$5:$BB$10,8,0)</f>
        <v>- - -</v>
      </c>
      <c r="AF9" s="788"/>
      <c r="AG9" s="788"/>
      <c r="AH9" s="793"/>
      <c r="AI9" s="787">
        <f>VLOOKUP(SMALL(calculations!$AT$5:$AT$10,3),calculations!$AT$5:$BB$10,9,0)</f>
        <v>0</v>
      </c>
      <c r="AJ9" s="788"/>
      <c r="AK9" s="789"/>
      <c r="AL9" s="630"/>
      <c r="AM9" s="634"/>
      <c r="AN9" s="633"/>
    </row>
    <row r="10" spans="2:40" s="628" customFormat="1" ht="19.5" customHeight="1">
      <c r="B10" s="629"/>
      <c r="C10" s="630"/>
      <c r="D10" s="797">
        <f>VLOOKUP(SMALL(calculations!$AT$5:$AT$10,4),calculations!$AT$5:$BB$10,2,0)</f>
        <v>1</v>
      </c>
      <c r="E10" s="798"/>
      <c r="F10" s="832">
        <f>VLOOKUP(SMALL(calculations!$AT$5:$AT$10,4),calculations!$AT$5:$BB$10,3,0)</f>
      </c>
      <c r="G10" s="833"/>
      <c r="H10" s="833"/>
      <c r="I10" s="833"/>
      <c r="J10" s="833"/>
      <c r="K10" s="833"/>
      <c r="L10" s="833"/>
      <c r="M10" s="833"/>
      <c r="N10" s="833"/>
      <c r="O10" s="833"/>
      <c r="P10" s="833"/>
      <c r="Q10" s="833"/>
      <c r="R10" s="834"/>
      <c r="S10" s="783">
        <f>VLOOKUP(SMALL(calculations!$AT$5:$AT$10,4),calculations!$AT$5:$BB$10,4,0)</f>
        <v>0</v>
      </c>
      <c r="T10" s="784"/>
      <c r="U10" s="788">
        <f>VLOOKUP(SMALL(calculations!$AT$5:$AT$10,4),calculations!$AT$5:$BB$10,5,0)</f>
        <v>0</v>
      </c>
      <c r="V10" s="788"/>
      <c r="W10" s="793"/>
      <c r="X10" s="787">
        <f>VLOOKUP(SMALL(calculations!$AT$5:$AT$10,4),calculations!$AT$5:$BB$10,6,0)</f>
        <v>0</v>
      </c>
      <c r="Y10" s="788"/>
      <c r="Z10" s="793"/>
      <c r="AA10" s="787" t="str">
        <f>VLOOKUP(SMALL(calculations!$AT$5:$AT$10,4),calculations!$AT$5:$BB$10,7,0)</f>
        <v>0.00</v>
      </c>
      <c r="AB10" s="788"/>
      <c r="AC10" s="788"/>
      <c r="AD10" s="793"/>
      <c r="AE10" s="787" t="str">
        <f>VLOOKUP(SMALL(calculations!$AT$5:$AT$10,4),calculations!$AT$5:$BB$10,8,0)</f>
        <v>- - -</v>
      </c>
      <c r="AF10" s="788"/>
      <c r="AG10" s="788"/>
      <c r="AH10" s="793"/>
      <c r="AI10" s="787">
        <f>VLOOKUP(SMALL(calculations!$AT$5:$AT$10,4),calculations!$AT$5:$BB$10,9,0)</f>
        <v>0</v>
      </c>
      <c r="AJ10" s="788"/>
      <c r="AK10" s="789"/>
      <c r="AL10" s="630"/>
      <c r="AM10" s="634"/>
      <c r="AN10" s="633"/>
    </row>
    <row r="11" spans="2:40" s="628" customFormat="1" ht="19.5" customHeight="1">
      <c r="B11" s="629"/>
      <c r="C11" s="630"/>
      <c r="D11" s="797">
        <f>VLOOKUP(SMALL(calculations!$AT$5:$AT$10,5),calculations!$AT$5:$BB$10,2,0)</f>
        <v>1</v>
      </c>
      <c r="E11" s="798"/>
      <c r="F11" s="832">
        <f>VLOOKUP(SMALL(calculations!$AT$5:$AT$10,5),calculations!$AT$5:$BB$10,3,0)</f>
      </c>
      <c r="G11" s="833"/>
      <c r="H11" s="833"/>
      <c r="I11" s="833"/>
      <c r="J11" s="833"/>
      <c r="K11" s="833"/>
      <c r="L11" s="833"/>
      <c r="M11" s="833"/>
      <c r="N11" s="833"/>
      <c r="O11" s="833"/>
      <c r="P11" s="833"/>
      <c r="Q11" s="833"/>
      <c r="R11" s="834"/>
      <c r="S11" s="783">
        <f>VLOOKUP(SMALL(calculations!$AT$5:$AT$10,5),calculations!$AT$5:$BB$10,4,0)</f>
        <v>0</v>
      </c>
      <c r="T11" s="784"/>
      <c r="U11" s="788">
        <f>VLOOKUP(SMALL(calculations!$AT$5:$AT$10,5),calculations!$AT$5:$BB$10,5,0)</f>
        <v>0</v>
      </c>
      <c r="V11" s="788"/>
      <c r="W11" s="793"/>
      <c r="X11" s="787">
        <f>VLOOKUP(SMALL(calculations!$AT$5:$AT$10,5),calculations!$AT$5:$BB$10,6,0)</f>
        <v>0</v>
      </c>
      <c r="Y11" s="788"/>
      <c r="Z11" s="793"/>
      <c r="AA11" s="787" t="str">
        <f>VLOOKUP(SMALL(calculations!$AT$5:$AT$10,5),calculations!$AT$5:$BB$10,7,0)</f>
        <v>0.00</v>
      </c>
      <c r="AB11" s="788"/>
      <c r="AC11" s="788"/>
      <c r="AD11" s="793"/>
      <c r="AE11" s="787" t="str">
        <f>VLOOKUP(SMALL(calculations!$AT$5:$AT$10,5),calculations!$AT$5:$BB$10,8,0)</f>
        <v>- - -</v>
      </c>
      <c r="AF11" s="788"/>
      <c r="AG11" s="788"/>
      <c r="AH11" s="793"/>
      <c r="AI11" s="787">
        <f>VLOOKUP(SMALL(calculations!$AT$5:$AT$10,5),calculations!$AT$5:$BB$10,9,0)</f>
        <v>0</v>
      </c>
      <c r="AJ11" s="788"/>
      <c r="AK11" s="789"/>
      <c r="AL11" s="630"/>
      <c r="AM11" s="634"/>
      <c r="AN11" s="633"/>
    </row>
    <row r="12" spans="2:40" s="628" customFormat="1" ht="19.5" customHeight="1" thickBot="1">
      <c r="B12" s="629"/>
      <c r="C12" s="630"/>
      <c r="D12" s="850">
        <f>VLOOKUP(SMALL(calculations!$AT$5:$AT$10,6),calculations!$AT$5:$BB$10,2,0)</f>
        <v>1</v>
      </c>
      <c r="E12" s="851"/>
      <c r="F12" s="847">
        <f>VLOOKUP(SMALL(calculations!$AT$5:$AT$10,6),calculations!$AT$5:$BB$10,3,0)</f>
      </c>
      <c r="G12" s="848"/>
      <c r="H12" s="848"/>
      <c r="I12" s="848"/>
      <c r="J12" s="848"/>
      <c r="K12" s="848"/>
      <c r="L12" s="848"/>
      <c r="M12" s="848"/>
      <c r="N12" s="848"/>
      <c r="O12" s="848"/>
      <c r="P12" s="848"/>
      <c r="Q12" s="848"/>
      <c r="R12" s="849"/>
      <c r="S12" s="785">
        <f>VLOOKUP(SMALL(calculations!$AT$5:$AT$10,6),calculations!$AT$5:$BB$10,4,0)</f>
        <v>0</v>
      </c>
      <c r="T12" s="786"/>
      <c r="U12" s="791">
        <f>VLOOKUP(SMALL(calculations!$AT$5:$AT$10,6),calculations!$AT$5:$BB$10,5,0)</f>
        <v>0</v>
      </c>
      <c r="V12" s="791"/>
      <c r="W12" s="794"/>
      <c r="X12" s="790">
        <f>VLOOKUP(SMALL(calculations!$AT$5:$AT$10,6),calculations!$AT$5:$BB$10,6,0)</f>
        <v>0</v>
      </c>
      <c r="Y12" s="791"/>
      <c r="Z12" s="794"/>
      <c r="AA12" s="790" t="str">
        <f>VLOOKUP(SMALL(calculations!$AT$5:$AT$10,6),calculations!$AT$5:$BB$10,7,0)</f>
        <v>0.00</v>
      </c>
      <c r="AB12" s="791"/>
      <c r="AC12" s="791"/>
      <c r="AD12" s="794"/>
      <c r="AE12" s="790" t="str">
        <f>VLOOKUP(SMALL(calculations!$AT$5:$AT$10,6),calculations!$AT$5:$BB$10,8,0)</f>
        <v>- - -</v>
      </c>
      <c r="AF12" s="791"/>
      <c r="AG12" s="791"/>
      <c r="AH12" s="794"/>
      <c r="AI12" s="790">
        <f>VLOOKUP(SMALL(calculations!$AT$5:$AT$10,6),calculations!$AT$5:$BB$10,9,0)</f>
        <v>0</v>
      </c>
      <c r="AJ12" s="791"/>
      <c r="AK12" s="792"/>
      <c r="AL12" s="630"/>
      <c r="AM12" s="634"/>
      <c r="AN12" s="633"/>
    </row>
    <row r="13" spans="2:40" s="621" customFormat="1" ht="19.5" customHeight="1">
      <c r="B13" s="622"/>
      <c r="C13" s="623"/>
      <c r="D13" s="855" t="str">
        <f>translate!B47</f>
        <v>Meilleure MG:</v>
      </c>
      <c r="E13" s="855"/>
      <c r="F13" s="855"/>
      <c r="G13" s="855"/>
      <c r="H13" s="855"/>
      <c r="I13" s="853" t="str">
        <f>FIXED(calculations!AO36,calculations!$G$2)</f>
        <v>0.00</v>
      </c>
      <c r="J13" s="853"/>
      <c r="K13" s="857" t="str">
        <f>calculations!C38</f>
        <v> -  -  -  -  - </v>
      </c>
      <c r="L13" s="857"/>
      <c r="M13" s="857"/>
      <c r="N13" s="857"/>
      <c r="O13" s="857"/>
      <c r="P13" s="857"/>
      <c r="Q13" s="857"/>
      <c r="R13" s="857"/>
      <c r="S13" s="857"/>
      <c r="T13" s="857"/>
      <c r="U13" s="857"/>
      <c r="V13" s="857"/>
      <c r="W13" s="857"/>
      <c r="X13" s="857"/>
      <c r="Y13" s="857"/>
      <c r="Z13" s="857"/>
      <c r="AA13" s="857"/>
      <c r="AB13" s="857"/>
      <c r="AC13" s="635"/>
      <c r="AD13" s="624"/>
      <c r="AE13" s="256"/>
      <c r="AF13" s="624"/>
      <c r="AG13" s="624"/>
      <c r="AH13" s="627" t="str">
        <f>translate!B45</f>
        <v>Moyenne tournoi</v>
      </c>
      <c r="AI13" s="852">
        <f>Tableau!AE35</f>
      </c>
      <c r="AJ13" s="853"/>
      <c r="AK13" s="853"/>
      <c r="AL13" s="623"/>
      <c r="AM13" s="625"/>
      <c r="AN13" s="626"/>
    </row>
    <row r="14" spans="2:40" s="621" customFormat="1" ht="15" customHeight="1">
      <c r="B14" s="622"/>
      <c r="C14" s="623"/>
      <c r="D14" s="856" t="str">
        <f>translate!B46</f>
        <v>Meilleure MP:</v>
      </c>
      <c r="E14" s="856"/>
      <c r="F14" s="856"/>
      <c r="G14" s="856"/>
      <c r="H14" s="856"/>
      <c r="I14" s="859" t="str">
        <f>FIXED(calculations!AP36,calculations!$G$2)</f>
        <v>0.00</v>
      </c>
      <c r="J14" s="859"/>
      <c r="K14" s="858" t="str">
        <f>calculations!C37</f>
        <v> -  -  -  -  - </v>
      </c>
      <c r="L14" s="858"/>
      <c r="M14" s="858"/>
      <c r="N14" s="858"/>
      <c r="O14" s="858"/>
      <c r="P14" s="858"/>
      <c r="Q14" s="858"/>
      <c r="R14" s="858"/>
      <c r="S14" s="858"/>
      <c r="T14" s="858"/>
      <c r="U14" s="858"/>
      <c r="V14" s="858"/>
      <c r="W14" s="858"/>
      <c r="X14" s="858"/>
      <c r="Y14" s="858"/>
      <c r="Z14" s="858"/>
      <c r="AA14" s="858"/>
      <c r="AB14" s="858"/>
      <c r="AC14" s="858"/>
      <c r="AD14" s="624"/>
      <c r="AE14" s="624"/>
      <c r="AF14" s="624"/>
      <c r="AG14" s="624"/>
      <c r="AH14" s="624"/>
      <c r="AI14" s="624"/>
      <c r="AJ14" s="624"/>
      <c r="AK14" s="624"/>
      <c r="AL14" s="623"/>
      <c r="AM14" s="625"/>
      <c r="AN14" s="626"/>
    </row>
    <row r="15" spans="2:40" s="621" customFormat="1" ht="15" customHeight="1">
      <c r="B15" s="622"/>
      <c r="C15" s="623"/>
      <c r="D15" s="856" t="str">
        <f>translate!B48</f>
        <v>Meilleure série:</v>
      </c>
      <c r="E15" s="856"/>
      <c r="F15" s="856"/>
      <c r="G15" s="856"/>
      <c r="H15" s="856"/>
      <c r="I15" s="859">
        <f>calculations!AQ36</f>
        <v>0</v>
      </c>
      <c r="J15" s="859"/>
      <c r="K15" s="858" t="str">
        <f>calculations!C39</f>
        <v> -  -  -  -  - </v>
      </c>
      <c r="L15" s="858"/>
      <c r="M15" s="858"/>
      <c r="N15" s="858"/>
      <c r="O15" s="858"/>
      <c r="P15" s="858"/>
      <c r="Q15" s="858"/>
      <c r="R15" s="858"/>
      <c r="S15" s="858"/>
      <c r="T15" s="858"/>
      <c r="U15" s="858"/>
      <c r="V15" s="858"/>
      <c r="W15" s="858"/>
      <c r="X15" s="858"/>
      <c r="Y15" s="858"/>
      <c r="Z15" s="858"/>
      <c r="AA15" s="858"/>
      <c r="AB15" s="858"/>
      <c r="AC15" s="858"/>
      <c r="AD15" s="624"/>
      <c r="AE15" s="624"/>
      <c r="AF15" s="624"/>
      <c r="AG15" s="624"/>
      <c r="AH15" s="624"/>
      <c r="AI15" s="624"/>
      <c r="AJ15" s="624"/>
      <c r="AK15" s="624"/>
      <c r="AL15" s="623"/>
      <c r="AM15" s="625"/>
      <c r="AN15" s="626"/>
    </row>
    <row r="16" spans="2:40" s="537" customFormat="1" ht="21" customHeight="1">
      <c r="B16" s="534"/>
      <c r="C16" s="535"/>
      <c r="D16" s="854" t="str">
        <f>translate!B122</f>
        <v>Précision</v>
      </c>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535"/>
      <c r="AM16" s="538"/>
      <c r="AN16" s="536"/>
    </row>
    <row r="17" spans="2:40" s="537" customFormat="1" ht="38.25" customHeight="1">
      <c r="B17" s="534"/>
      <c r="C17" s="535"/>
      <c r="D17" s="965">
        <f>IF(LARGE(S7:T12,1)=0,"",calculations!BE30)</f>
      </c>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7"/>
      <c r="AL17" s="535"/>
      <c r="AM17" s="538"/>
      <c r="AN17" s="536"/>
    </row>
    <row r="18" spans="2:40" s="569" customFormat="1" ht="22.5" customHeight="1" thickBot="1">
      <c r="B18" s="570"/>
      <c r="C18" s="571"/>
      <c r="D18" s="846" t="str">
        <f>translate!$B$9&amp;" 1"</f>
        <v>Joueur 1</v>
      </c>
      <c r="E18" s="846"/>
      <c r="F18" s="846"/>
      <c r="G18" s="846"/>
      <c r="H18" s="846"/>
      <c r="I18" s="846"/>
      <c r="J18" s="846"/>
      <c r="K18" s="846"/>
      <c r="L18" s="572"/>
      <c r="M18" s="572"/>
      <c r="N18" s="572"/>
      <c r="O18" s="572"/>
      <c r="P18" s="572"/>
      <c r="Q18" s="846" t="str">
        <f>translate!$B$9&amp;" 2"</f>
        <v>Joueur 2</v>
      </c>
      <c r="R18" s="846"/>
      <c r="S18" s="846"/>
      <c r="T18" s="846"/>
      <c r="U18" s="846"/>
      <c r="V18" s="846"/>
      <c r="W18" s="846"/>
      <c r="X18" s="846"/>
      <c r="Y18" s="572"/>
      <c r="Z18" s="572"/>
      <c r="AA18" s="572"/>
      <c r="AB18" s="572"/>
      <c r="AC18" s="572"/>
      <c r="AD18" s="846" t="str">
        <f>translate!$B$9&amp;" 3"</f>
        <v>Joueur 3</v>
      </c>
      <c r="AE18" s="846"/>
      <c r="AF18" s="846"/>
      <c r="AG18" s="846"/>
      <c r="AH18" s="846"/>
      <c r="AI18" s="846"/>
      <c r="AJ18" s="846"/>
      <c r="AK18" s="846"/>
      <c r="AL18" s="571"/>
      <c r="AM18" s="573"/>
      <c r="AN18" s="574"/>
    </row>
    <row r="19" spans="2:40" ht="15" customHeight="1" thickBot="1">
      <c r="B19" s="196"/>
      <c r="C19" s="73"/>
      <c r="D19" s="803">
        <f>calculations!B5</f>
      </c>
      <c r="E19" s="804"/>
      <c r="F19" s="804"/>
      <c r="G19" s="804"/>
      <c r="H19" s="804"/>
      <c r="I19" s="804"/>
      <c r="J19" s="804"/>
      <c r="K19" s="805"/>
      <c r="L19" s="557"/>
      <c r="M19" s="557"/>
      <c r="N19" s="557"/>
      <c r="O19" s="557"/>
      <c r="P19" s="557"/>
      <c r="Q19" s="803">
        <f>calculations!B9</f>
      </c>
      <c r="R19" s="804"/>
      <c r="S19" s="804"/>
      <c r="T19" s="804"/>
      <c r="U19" s="804"/>
      <c r="V19" s="804"/>
      <c r="W19" s="804"/>
      <c r="X19" s="805"/>
      <c r="Y19" s="532"/>
      <c r="Z19" s="532"/>
      <c r="AA19" s="532"/>
      <c r="AB19" s="532"/>
      <c r="AC19" s="532"/>
      <c r="AD19" s="803">
        <f>calculations!B13</f>
      </c>
      <c r="AE19" s="804"/>
      <c r="AF19" s="804"/>
      <c r="AG19" s="804"/>
      <c r="AH19" s="804"/>
      <c r="AI19" s="804"/>
      <c r="AJ19" s="804"/>
      <c r="AK19" s="805"/>
      <c r="AL19" s="531"/>
      <c r="AM19" s="197"/>
      <c r="AN19" s="251"/>
    </row>
    <row r="20" spans="2:40" s="547" customFormat="1" ht="12" customHeight="1">
      <c r="B20" s="542"/>
      <c r="C20" s="481"/>
      <c r="D20" s="824">
        <f>calculations!B25</f>
      </c>
      <c r="E20" s="825"/>
      <c r="F20" s="825"/>
      <c r="G20" s="825"/>
      <c r="H20" s="825"/>
      <c r="I20" s="825"/>
      <c r="J20" s="806">
        <f>IF(ISNUMBER(calculations!AA5),ROUNDDOWN(calculations!AA5,0)&amp;" : "&amp;ROUNDDOWN(calculations!AA6,0),"")</f>
      </c>
      <c r="K20" s="807"/>
      <c r="L20" s="548"/>
      <c r="M20" s="548"/>
      <c r="N20" s="548"/>
      <c r="O20" s="548"/>
      <c r="P20" s="548"/>
      <c r="Q20" s="824">
        <f>calculations!B17</f>
      </c>
      <c r="R20" s="825"/>
      <c r="S20" s="825"/>
      <c r="T20" s="825"/>
      <c r="U20" s="825"/>
      <c r="V20" s="825"/>
      <c r="W20" s="806">
        <f>IF(ISNUMBER(calculations!L9),ROUNDDOWN(calculations!L9,0)&amp;" : "&amp;ROUNDDOWN(calculations!L10,0),"")</f>
      </c>
      <c r="X20" s="807"/>
      <c r="Y20" s="543"/>
      <c r="Z20" s="543"/>
      <c r="AA20" s="543"/>
      <c r="AB20" s="543"/>
      <c r="AC20" s="543"/>
      <c r="AD20" s="824">
        <f>calculations!B21</f>
      </c>
      <c r="AE20" s="825"/>
      <c r="AF20" s="825"/>
      <c r="AG20" s="825"/>
      <c r="AH20" s="825"/>
      <c r="AI20" s="825"/>
      <c r="AJ20" s="806">
        <f>IF(ISNUMBER(calculations!L13),ROUNDDOWN(calculations!L13,0)&amp;" : "&amp;ROUNDDOWN(calculations!L14,0),"")</f>
      </c>
      <c r="AK20" s="807"/>
      <c r="AL20" s="544"/>
      <c r="AM20" s="545"/>
      <c r="AN20" s="546"/>
    </row>
    <row r="21" spans="2:40" s="547" customFormat="1" ht="12" customHeight="1">
      <c r="B21" s="542"/>
      <c r="C21" s="481"/>
      <c r="D21" s="820">
        <f>calculations!B17</f>
      </c>
      <c r="E21" s="821"/>
      <c r="F21" s="821"/>
      <c r="G21" s="821"/>
      <c r="H21" s="821"/>
      <c r="I21" s="821"/>
      <c r="J21" s="822">
        <f>IF(ISNUMBER(calculations!Q5),ROUNDDOWN(calculations!Q5,0)&amp;" : "&amp;ROUNDDOWN(calculations!Q6,0),"")</f>
      </c>
      <c r="K21" s="823"/>
      <c r="L21" s="548"/>
      <c r="M21" s="548"/>
      <c r="N21" s="548"/>
      <c r="O21" s="548"/>
      <c r="P21" s="548"/>
      <c r="Q21" s="820">
        <f>calculations!B21</f>
      </c>
      <c r="R21" s="821"/>
      <c r="S21" s="821"/>
      <c r="T21" s="821"/>
      <c r="U21" s="821"/>
      <c r="V21" s="821"/>
      <c r="W21" s="822">
        <f>IF(ISNUMBER(calculations!Q9),ROUNDDOWN(calculations!Q9,0)&amp;" : "&amp;ROUNDDOWN(calculations!Q10,0),"")</f>
      </c>
      <c r="X21" s="823"/>
      <c r="Y21" s="543"/>
      <c r="Z21" s="543"/>
      <c r="AA21" s="543"/>
      <c r="AB21" s="543"/>
      <c r="AC21" s="543"/>
      <c r="AD21" s="820">
        <f>calculations!B25</f>
      </c>
      <c r="AE21" s="821"/>
      <c r="AF21" s="821"/>
      <c r="AG21" s="821"/>
      <c r="AH21" s="821"/>
      <c r="AI21" s="821"/>
      <c r="AJ21" s="822">
        <f>IF(ISNUMBER(calculations!Q13),ROUNDDOWN(calculations!Q13,0)&amp;" : "&amp;ROUNDDOWN(calculations!Q14,0),"")</f>
      </c>
      <c r="AK21" s="823"/>
      <c r="AL21" s="544"/>
      <c r="AM21" s="545"/>
      <c r="AN21" s="546"/>
    </row>
    <row r="22" spans="2:40" s="547" customFormat="1" ht="12" customHeight="1">
      <c r="B22" s="542"/>
      <c r="C22" s="481"/>
      <c r="D22" s="820">
        <f>calculations!B21</f>
      </c>
      <c r="E22" s="821"/>
      <c r="F22" s="821"/>
      <c r="G22" s="821"/>
      <c r="H22" s="821"/>
      <c r="I22" s="821"/>
      <c r="J22" s="822">
        <f>IF(ISNUMBER(calculations!V5),ROUNDDOWN(calculations!V5,0)&amp;" : "&amp;ROUNDDOWN(calculations!V6,0),"")</f>
      </c>
      <c r="K22" s="823"/>
      <c r="L22" s="548"/>
      <c r="M22" s="548"/>
      <c r="N22" s="548"/>
      <c r="O22" s="548"/>
      <c r="P22" s="548"/>
      <c r="Q22" s="820">
        <f>calculations!B13</f>
      </c>
      <c r="R22" s="821"/>
      <c r="S22" s="821"/>
      <c r="T22" s="821"/>
      <c r="U22" s="821"/>
      <c r="V22" s="821"/>
      <c r="W22" s="822">
        <f>IF(ISNUMBER(calculations!G9),ROUNDDOWN(calculations!G9,0)&amp;" : "&amp;ROUNDDOWN(calculations!G10,0),"")</f>
      </c>
      <c r="X22" s="823"/>
      <c r="Y22" s="543"/>
      <c r="Z22" s="543"/>
      <c r="AA22" s="543"/>
      <c r="AB22" s="543"/>
      <c r="AC22" s="543"/>
      <c r="AD22" s="820">
        <f>calculations!B9</f>
      </c>
      <c r="AE22" s="821"/>
      <c r="AF22" s="821"/>
      <c r="AG22" s="821"/>
      <c r="AH22" s="821"/>
      <c r="AI22" s="821"/>
      <c r="AJ22" s="822">
        <f>IF(ISNUMBER(calculations!G9),ROUNDDOWN(calculations!G10,0)&amp;" : "&amp;ROUNDDOWN(calculations!G9,0),"")</f>
      </c>
      <c r="AK22" s="823"/>
      <c r="AL22" s="544"/>
      <c r="AM22" s="545"/>
      <c r="AN22" s="546"/>
    </row>
    <row r="23" spans="2:40" s="547" customFormat="1" ht="12" customHeight="1">
      <c r="B23" s="542"/>
      <c r="C23" s="481"/>
      <c r="D23" s="820">
        <f>calculations!B13</f>
      </c>
      <c r="E23" s="821"/>
      <c r="F23" s="821"/>
      <c r="G23" s="821"/>
      <c r="H23" s="821"/>
      <c r="I23" s="821"/>
      <c r="J23" s="822">
        <f>IF(ISNUMBER(calculations!L5),ROUNDDOWN(calculations!L5,0)&amp;" : "&amp;ROUNDDOWN(calculations!L6,0),"")</f>
      </c>
      <c r="K23" s="823"/>
      <c r="L23" s="548"/>
      <c r="M23" s="548"/>
      <c r="N23" s="548"/>
      <c r="O23" s="548"/>
      <c r="P23" s="548"/>
      <c r="Q23" s="820">
        <f>calculations!B25</f>
      </c>
      <c r="R23" s="821"/>
      <c r="S23" s="821"/>
      <c r="T23" s="821"/>
      <c r="U23" s="821"/>
      <c r="V23" s="821"/>
      <c r="W23" s="822">
        <f>IF(ISNUMBER(calculations!V9),ROUNDDOWN(calculations!V9,0)&amp;" : "&amp;ROUNDDOWN(calculations!V10,0),"")</f>
      </c>
      <c r="X23" s="823"/>
      <c r="Y23" s="543"/>
      <c r="Z23" s="543"/>
      <c r="AA23" s="543"/>
      <c r="AB23" s="543"/>
      <c r="AC23" s="543"/>
      <c r="AD23" s="820">
        <f>calculations!B5</f>
      </c>
      <c r="AE23" s="821"/>
      <c r="AF23" s="821"/>
      <c r="AG23" s="821"/>
      <c r="AH23" s="821"/>
      <c r="AI23" s="821"/>
      <c r="AJ23" s="822">
        <f>IF(ISNUMBER(calculations!L5),ROUNDDOWN(calculations!L6,0)&amp;" : "&amp;ROUNDDOWN(calculations!L5,0),"")</f>
      </c>
      <c r="AK23" s="823"/>
      <c r="AL23" s="544"/>
      <c r="AM23" s="545"/>
      <c r="AN23" s="546"/>
    </row>
    <row r="24" spans="2:40" s="547" customFormat="1" ht="12" customHeight="1" thickBot="1">
      <c r="B24" s="542"/>
      <c r="C24" s="481"/>
      <c r="D24" s="826">
        <f>calculations!B9</f>
      </c>
      <c r="E24" s="827"/>
      <c r="F24" s="827"/>
      <c r="G24" s="827"/>
      <c r="H24" s="827"/>
      <c r="I24" s="827"/>
      <c r="J24" s="818">
        <f>IF(ISNUMBER(calculations!G5),ROUNDDOWN(calculations!G5,0)&amp;" : "&amp;ROUNDDOWN(calculations!G6,0),"")</f>
      </c>
      <c r="K24" s="819"/>
      <c r="L24" s="548"/>
      <c r="M24" s="548"/>
      <c r="N24" s="548"/>
      <c r="O24" s="548"/>
      <c r="P24" s="548"/>
      <c r="Q24" s="826">
        <f>calculations!B5</f>
      </c>
      <c r="R24" s="827"/>
      <c r="S24" s="827"/>
      <c r="T24" s="827"/>
      <c r="U24" s="827"/>
      <c r="V24" s="827"/>
      <c r="W24" s="818">
        <f>IF(ISNUMBER(calculations!G5),ROUNDDOWN(calculations!G6,0)&amp;" : "&amp;ROUNDDOWN(calculations!G5,0),"")</f>
      </c>
      <c r="X24" s="819"/>
      <c r="Y24" s="543"/>
      <c r="Z24" s="543"/>
      <c r="AA24" s="543"/>
      <c r="AB24" s="543"/>
      <c r="AC24" s="543"/>
      <c r="AD24" s="826">
        <f>calculations!B17</f>
      </c>
      <c r="AE24" s="827"/>
      <c r="AF24" s="827"/>
      <c r="AG24" s="827"/>
      <c r="AH24" s="827"/>
      <c r="AI24" s="827"/>
      <c r="AJ24" s="818">
        <f>IF(ISNUMBER(calculations!G13),ROUNDDOWN(calculations!G13,0)&amp;" : "&amp;ROUNDDOWN(calculations!G14,0),"")</f>
      </c>
      <c r="AK24" s="819"/>
      <c r="AL24" s="544"/>
      <c r="AM24" s="545"/>
      <c r="AN24" s="546"/>
    </row>
    <row r="25" spans="2:40" s="575" customFormat="1" ht="22.5" customHeight="1" thickBot="1">
      <c r="B25" s="576"/>
      <c r="C25" s="577"/>
      <c r="D25" s="846" t="str">
        <f>translate!$B$9&amp;" 4"</f>
        <v>Joueur 4</v>
      </c>
      <c r="E25" s="846"/>
      <c r="F25" s="846"/>
      <c r="G25" s="846"/>
      <c r="H25" s="846"/>
      <c r="I25" s="846"/>
      <c r="J25" s="846"/>
      <c r="K25" s="846"/>
      <c r="L25" s="578"/>
      <c r="M25" s="578"/>
      <c r="N25" s="578"/>
      <c r="O25" s="578"/>
      <c r="P25" s="578"/>
      <c r="Q25" s="846" t="str">
        <f>translate!$B$9&amp;" 5"</f>
        <v>Joueur 5</v>
      </c>
      <c r="R25" s="846"/>
      <c r="S25" s="846"/>
      <c r="T25" s="846"/>
      <c r="U25" s="846"/>
      <c r="V25" s="846"/>
      <c r="W25" s="846"/>
      <c r="X25" s="846"/>
      <c r="Y25" s="579"/>
      <c r="Z25" s="579"/>
      <c r="AA25" s="579"/>
      <c r="AB25" s="579"/>
      <c r="AC25" s="579"/>
      <c r="AD25" s="846" t="str">
        <f>translate!$B$9&amp;" 6"</f>
        <v>Joueur 6</v>
      </c>
      <c r="AE25" s="846"/>
      <c r="AF25" s="846"/>
      <c r="AG25" s="846"/>
      <c r="AH25" s="846"/>
      <c r="AI25" s="846"/>
      <c r="AJ25" s="846"/>
      <c r="AK25" s="846"/>
      <c r="AL25" s="577"/>
      <c r="AM25" s="580"/>
      <c r="AN25" s="581"/>
    </row>
    <row r="26" spans="2:40" s="539" customFormat="1" ht="15" customHeight="1" thickBot="1">
      <c r="B26" s="554"/>
      <c r="C26" s="540"/>
      <c r="D26" s="803">
        <f>calculations!B17</f>
      </c>
      <c r="E26" s="804"/>
      <c r="F26" s="804"/>
      <c r="G26" s="804"/>
      <c r="H26" s="804"/>
      <c r="I26" s="804"/>
      <c r="J26" s="804"/>
      <c r="K26" s="805"/>
      <c r="L26" s="557"/>
      <c r="M26" s="557"/>
      <c r="N26" s="557"/>
      <c r="O26" s="557"/>
      <c r="P26" s="557"/>
      <c r="Q26" s="803">
        <f>calculations!B21</f>
      </c>
      <c r="R26" s="804"/>
      <c r="S26" s="804"/>
      <c r="T26" s="804"/>
      <c r="U26" s="804"/>
      <c r="V26" s="804"/>
      <c r="W26" s="804"/>
      <c r="X26" s="805"/>
      <c r="Y26" s="541"/>
      <c r="Z26" s="541"/>
      <c r="AA26" s="541"/>
      <c r="AB26" s="541"/>
      <c r="AC26" s="541"/>
      <c r="AD26" s="803">
        <f>calculations!B25</f>
      </c>
      <c r="AE26" s="804"/>
      <c r="AF26" s="804"/>
      <c r="AG26" s="804"/>
      <c r="AH26" s="804"/>
      <c r="AI26" s="804"/>
      <c r="AJ26" s="804"/>
      <c r="AK26" s="805"/>
      <c r="AL26" s="540"/>
      <c r="AM26" s="555"/>
      <c r="AN26" s="556"/>
    </row>
    <row r="27" spans="2:40" s="553" customFormat="1" ht="12" customHeight="1">
      <c r="B27" s="549"/>
      <c r="C27" s="550"/>
      <c r="D27" s="812">
        <f>calculations!B9</f>
      </c>
      <c r="E27" s="813"/>
      <c r="F27" s="813"/>
      <c r="G27" s="813"/>
      <c r="H27" s="813"/>
      <c r="I27" s="813"/>
      <c r="J27" s="814">
        <f>IF(ISNUMBER(calculations!L9),ROUNDDOWN(calculations!L10,0)&amp;" : "&amp;ROUNDDOWN(calculations!L9,0),"")</f>
      </c>
      <c r="K27" s="815"/>
      <c r="L27" s="548"/>
      <c r="M27" s="548"/>
      <c r="N27" s="548"/>
      <c r="O27" s="548"/>
      <c r="P27" s="548"/>
      <c r="Q27" s="812">
        <f>calculations!B13</f>
      </c>
      <c r="R27" s="813"/>
      <c r="S27" s="813"/>
      <c r="T27" s="813"/>
      <c r="U27" s="813"/>
      <c r="V27" s="813"/>
      <c r="W27" s="816">
        <f>IF(ISNUMBER(calculations!L13),ROUNDDOWN(calculations!L14,0)&amp;" : "&amp;ROUNDDOWN(calculations!L13,0),"")</f>
      </c>
      <c r="X27" s="817"/>
      <c r="Y27" s="543"/>
      <c r="Z27" s="543"/>
      <c r="AA27" s="543"/>
      <c r="AB27" s="543"/>
      <c r="AC27" s="543"/>
      <c r="AD27" s="812">
        <f>calculations!B5</f>
      </c>
      <c r="AE27" s="813"/>
      <c r="AF27" s="813"/>
      <c r="AG27" s="813"/>
      <c r="AH27" s="813"/>
      <c r="AI27" s="813"/>
      <c r="AJ27" s="816">
        <f>IF(ISNUMBER(calculations!AA5),ROUNDDOWN(calculations!AA6,0)&amp;" : "&amp;ROUNDDOWN(calculations!AA5,0),"")</f>
      </c>
      <c r="AK27" s="817"/>
      <c r="AL27" s="550"/>
      <c r="AM27" s="551"/>
      <c r="AN27" s="552"/>
    </row>
    <row r="28" spans="2:40" s="553" customFormat="1" ht="12" customHeight="1">
      <c r="B28" s="549"/>
      <c r="C28" s="550"/>
      <c r="D28" s="801">
        <f>calculations!B5</f>
      </c>
      <c r="E28" s="802"/>
      <c r="F28" s="802"/>
      <c r="G28" s="802"/>
      <c r="H28" s="802"/>
      <c r="I28" s="802"/>
      <c r="J28" s="799">
        <f>IF(ISNUMBER(calculations!Q5),ROUNDDOWN(calculations!Q6,0)&amp;" : "&amp;ROUNDDOWN(calculations!Q5,0),"")</f>
      </c>
      <c r="K28" s="800"/>
      <c r="L28" s="548"/>
      <c r="M28" s="548"/>
      <c r="N28" s="548"/>
      <c r="O28" s="548"/>
      <c r="P28" s="548"/>
      <c r="Q28" s="801">
        <f>calculations!B9</f>
      </c>
      <c r="R28" s="802"/>
      <c r="S28" s="802"/>
      <c r="T28" s="802"/>
      <c r="U28" s="802"/>
      <c r="V28" s="802"/>
      <c r="W28" s="799">
        <f>IF(ISNUMBER(calculations!Q9),ROUNDDOWN(calculations!Q10,0)&amp;" : "&amp;ROUNDDOWN(calculations!Q9,0),"")</f>
      </c>
      <c r="X28" s="800"/>
      <c r="Y28" s="543"/>
      <c r="Z28" s="543"/>
      <c r="AA28" s="543"/>
      <c r="AB28" s="543"/>
      <c r="AC28" s="543"/>
      <c r="AD28" s="801">
        <f>calculations!B13</f>
      </c>
      <c r="AE28" s="802"/>
      <c r="AF28" s="802"/>
      <c r="AG28" s="802"/>
      <c r="AH28" s="802"/>
      <c r="AI28" s="802"/>
      <c r="AJ28" s="799">
        <f>IF(ISNUMBER(calculations!Q13),ROUNDDOWN(calculations!Q14,0)&amp;" : "&amp;ROUNDDOWN(calculations!Q13,0),"")</f>
      </c>
      <c r="AK28" s="800"/>
      <c r="AL28" s="550"/>
      <c r="AM28" s="551"/>
      <c r="AN28" s="552"/>
    </row>
    <row r="29" spans="2:40" s="553" customFormat="1" ht="12" customHeight="1">
      <c r="B29" s="549"/>
      <c r="C29" s="550"/>
      <c r="D29" s="801">
        <f>calculations!B25</f>
      </c>
      <c r="E29" s="802"/>
      <c r="F29" s="802"/>
      <c r="G29" s="802"/>
      <c r="H29" s="802"/>
      <c r="I29" s="802"/>
      <c r="J29" s="799">
        <f>IF(ISNUMBER(calculations!L17),ROUNDDOWN(calculations!L17,0)&amp;" : "&amp;ROUNDDOWN(calculations!L18,0),"")</f>
      </c>
      <c r="K29" s="800"/>
      <c r="L29" s="548"/>
      <c r="M29" s="548"/>
      <c r="N29" s="548"/>
      <c r="O29" s="548"/>
      <c r="P29" s="548"/>
      <c r="Q29" s="801">
        <f>calculations!B5</f>
      </c>
      <c r="R29" s="802"/>
      <c r="S29" s="802"/>
      <c r="T29" s="802"/>
      <c r="U29" s="802"/>
      <c r="V29" s="802"/>
      <c r="W29" s="799">
        <f>IF(ISNUMBER(calculations!V5),ROUNDDOWN(calculations!V6,0)&amp;" : "&amp;ROUNDDOWN(calculations!V5,0),"")</f>
      </c>
      <c r="X29" s="800"/>
      <c r="Y29" s="543"/>
      <c r="Z29" s="543"/>
      <c r="AA29" s="543"/>
      <c r="AB29" s="543"/>
      <c r="AC29" s="543"/>
      <c r="AD29" s="801">
        <f>calculations!B17</f>
      </c>
      <c r="AE29" s="802"/>
      <c r="AF29" s="802"/>
      <c r="AG29" s="802"/>
      <c r="AH29" s="802"/>
      <c r="AI29" s="802"/>
      <c r="AJ29" s="799">
        <f>IF(ISNUMBER(calculations!L17),ROUNDDOWN(calculations!L18,0)&amp;" : "&amp;ROUNDDOWN(calculations!L17,0),"")</f>
      </c>
      <c r="AK29" s="800"/>
      <c r="AL29" s="550"/>
      <c r="AM29" s="551"/>
      <c r="AN29" s="552"/>
    </row>
    <row r="30" spans="2:40" s="553" customFormat="1" ht="12" customHeight="1">
      <c r="B30" s="549"/>
      <c r="C30" s="550"/>
      <c r="D30" s="801">
        <f>calculations!B21</f>
      </c>
      <c r="E30" s="802"/>
      <c r="F30" s="802"/>
      <c r="G30" s="802"/>
      <c r="H30" s="802"/>
      <c r="I30" s="802"/>
      <c r="J30" s="799">
        <f>IF(ISNUMBER(calculations!G17),ROUNDDOWN(calculations!G17,0)&amp;" : "&amp;ROUNDDOWN(calculations!G18,0),"")</f>
      </c>
      <c r="K30" s="800"/>
      <c r="L30" s="548"/>
      <c r="M30" s="548"/>
      <c r="N30" s="548"/>
      <c r="O30" s="548"/>
      <c r="P30" s="548"/>
      <c r="Q30" s="801">
        <f>calculations!B17</f>
      </c>
      <c r="R30" s="802"/>
      <c r="S30" s="802"/>
      <c r="T30" s="802"/>
      <c r="U30" s="802"/>
      <c r="V30" s="802"/>
      <c r="W30" s="799">
        <f>IF(ISNUMBER(calculations!G17),ROUNDDOWN(calculations!G18,0)&amp;" : "&amp;ROUNDDOWN(calculations!G17,0),"")</f>
      </c>
      <c r="X30" s="800"/>
      <c r="Y30" s="543"/>
      <c r="Z30" s="543"/>
      <c r="AA30" s="543"/>
      <c r="AB30" s="543"/>
      <c r="AC30" s="543"/>
      <c r="AD30" s="801">
        <f>calculations!B9</f>
      </c>
      <c r="AE30" s="802"/>
      <c r="AF30" s="802"/>
      <c r="AG30" s="802"/>
      <c r="AH30" s="802"/>
      <c r="AI30" s="802"/>
      <c r="AJ30" s="799">
        <f>IF(ISNUMBER(calculations!V9),ROUNDDOWN(calculations!V10,0)&amp;" : "&amp;ROUNDDOWN(calculations!V9,0),"")</f>
      </c>
      <c r="AK30" s="800"/>
      <c r="AL30" s="550"/>
      <c r="AM30" s="551"/>
      <c r="AN30" s="552"/>
    </row>
    <row r="31" spans="2:40" s="553" customFormat="1" ht="12" customHeight="1" thickBot="1">
      <c r="B31" s="549"/>
      <c r="C31" s="550"/>
      <c r="D31" s="808">
        <f>calculations!B13</f>
      </c>
      <c r="E31" s="809"/>
      <c r="F31" s="809"/>
      <c r="G31" s="809"/>
      <c r="H31" s="809"/>
      <c r="I31" s="809"/>
      <c r="J31" s="810">
        <f>IF(ISNUMBER(calculations!G13),ROUNDDOWN(calculations!G14,0)&amp;" : "&amp;ROUNDDOWN(calculations!G13,0),"")</f>
      </c>
      <c r="K31" s="811"/>
      <c r="L31" s="548"/>
      <c r="M31" s="548"/>
      <c r="N31" s="548"/>
      <c r="O31" s="548"/>
      <c r="P31" s="548"/>
      <c r="Q31" s="808">
        <f>calculations!B25</f>
      </c>
      <c r="R31" s="809"/>
      <c r="S31" s="809"/>
      <c r="T31" s="809"/>
      <c r="U31" s="809"/>
      <c r="V31" s="809"/>
      <c r="W31" s="810">
        <f>IF(ISNUMBER(calculations!G21),ROUNDDOWN(calculations!G21,0)&amp;" : "&amp;ROUNDDOWN(calculations!G22,0),"")</f>
      </c>
      <c r="X31" s="811"/>
      <c r="Y31" s="543"/>
      <c r="Z31" s="543"/>
      <c r="AA31" s="543"/>
      <c r="AB31" s="543"/>
      <c r="AC31" s="543"/>
      <c r="AD31" s="808">
        <f>calculations!B21</f>
      </c>
      <c r="AE31" s="809"/>
      <c r="AF31" s="809"/>
      <c r="AG31" s="809"/>
      <c r="AH31" s="809"/>
      <c r="AI31" s="809"/>
      <c r="AJ31" s="810">
        <f>IF(ISNUMBER(calculations!G21),ROUNDDOWN(calculations!G22,0)&amp;" : "&amp;ROUNDDOWN(calculations!G21,0),"")</f>
      </c>
      <c r="AK31" s="811"/>
      <c r="AL31" s="550"/>
      <c r="AM31" s="551"/>
      <c r="AN31" s="552"/>
    </row>
    <row r="32" spans="2:40" s="553" customFormat="1" ht="16.5" customHeight="1">
      <c r="B32" s="549"/>
      <c r="C32" s="550"/>
      <c r="D32" s="566"/>
      <c r="E32" s="566"/>
      <c r="F32" s="566"/>
      <c r="G32" s="566"/>
      <c r="H32" s="566"/>
      <c r="I32" s="566"/>
      <c r="J32" s="567"/>
      <c r="K32" s="567"/>
      <c r="L32" s="548"/>
      <c r="M32" s="548"/>
      <c r="N32" s="548"/>
      <c r="O32" s="548"/>
      <c r="P32" s="548"/>
      <c r="Q32" s="566"/>
      <c r="R32" s="566"/>
      <c r="S32" s="566"/>
      <c r="T32" s="566"/>
      <c r="U32" s="566"/>
      <c r="V32" s="566"/>
      <c r="W32" s="567"/>
      <c r="X32" s="567"/>
      <c r="Y32" s="543"/>
      <c r="Z32" s="543"/>
      <c r="AA32" s="543"/>
      <c r="AB32" s="543"/>
      <c r="AC32" s="543"/>
      <c r="AD32" s="566"/>
      <c r="AE32" s="566"/>
      <c r="AF32" s="566"/>
      <c r="AG32" s="566"/>
      <c r="AH32" s="566"/>
      <c r="AI32" s="566"/>
      <c r="AJ32" s="567"/>
      <c r="AK32" s="567"/>
      <c r="AL32" s="550"/>
      <c r="AM32" s="551"/>
      <c r="AN32" s="552"/>
    </row>
    <row r="33" spans="2:40" s="547" customFormat="1" ht="3.75" customHeight="1">
      <c r="B33" s="558"/>
      <c r="C33" s="559"/>
      <c r="D33" s="560"/>
      <c r="E33" s="560"/>
      <c r="F33" s="560"/>
      <c r="G33" s="560"/>
      <c r="H33" s="560"/>
      <c r="I33" s="560"/>
      <c r="J33" s="561"/>
      <c r="K33" s="561"/>
      <c r="L33" s="562"/>
      <c r="M33" s="562"/>
      <c r="N33" s="562"/>
      <c r="O33" s="562"/>
      <c r="P33" s="562"/>
      <c r="Q33" s="560"/>
      <c r="R33" s="560"/>
      <c r="S33" s="560"/>
      <c r="T33" s="560"/>
      <c r="U33" s="560"/>
      <c r="V33" s="560"/>
      <c r="W33" s="561"/>
      <c r="X33" s="561"/>
      <c r="Y33" s="563"/>
      <c r="Z33" s="563"/>
      <c r="AA33" s="563"/>
      <c r="AB33" s="563"/>
      <c r="AC33" s="563"/>
      <c r="AD33" s="560"/>
      <c r="AE33" s="560"/>
      <c r="AF33" s="560"/>
      <c r="AG33" s="560"/>
      <c r="AH33" s="560"/>
      <c r="AI33" s="560"/>
      <c r="AJ33" s="561"/>
      <c r="AK33" s="561"/>
      <c r="AL33" s="564"/>
      <c r="AM33" s="565"/>
      <c r="AN33" s="546"/>
    </row>
    <row r="34" spans="3:40" ht="3.75" customHeight="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sheetData>
  <sheetProtection password="814D" sheet="1" objects="1" scenarios="1" selectLockedCells="1" selectUnlockedCells="1"/>
  <mergeCells count="142">
    <mergeCell ref="AI13:AK13"/>
    <mergeCell ref="D18:K18"/>
    <mergeCell ref="Q18:X18"/>
    <mergeCell ref="AD18:AK18"/>
    <mergeCell ref="D17:AK17"/>
    <mergeCell ref="D16:AK16"/>
    <mergeCell ref="D13:H13"/>
    <mergeCell ref="D14:H14"/>
    <mergeCell ref="D15:H15"/>
    <mergeCell ref="K13:AB13"/>
    <mergeCell ref="K14:AC14"/>
    <mergeCell ref="K15:AC15"/>
    <mergeCell ref="I13:J13"/>
    <mergeCell ref="I14:J14"/>
    <mergeCell ref="I15:J15"/>
    <mergeCell ref="D9:E9"/>
    <mergeCell ref="D25:K25"/>
    <mergeCell ref="Q25:X25"/>
    <mergeCell ref="AD25:AK25"/>
    <mergeCell ref="F10:R10"/>
    <mergeCell ref="F11:R11"/>
    <mergeCell ref="F12:R12"/>
    <mergeCell ref="D19:K19"/>
    <mergeCell ref="D20:I20"/>
    <mergeCell ref="J20:K20"/>
    <mergeCell ref="D21:I21"/>
    <mergeCell ref="J21:K21"/>
    <mergeCell ref="U10:W10"/>
    <mergeCell ref="U11:W11"/>
    <mergeCell ref="U12:W12"/>
    <mergeCell ref="X10:Z10"/>
    <mergeCell ref="X11:Z11"/>
    <mergeCell ref="X12:Z12"/>
    <mergeCell ref="D10:E10"/>
    <mergeCell ref="D11:E11"/>
    <mergeCell ref="D12:E12"/>
    <mergeCell ref="AD19:AK19"/>
    <mergeCell ref="Q19:X19"/>
    <mergeCell ref="AD20:AI20"/>
    <mergeCell ref="D24:I24"/>
    <mergeCell ref="Q24:V24"/>
    <mergeCell ref="AD24:AI24"/>
    <mergeCell ref="D5:AK5"/>
    <mergeCell ref="F7:R7"/>
    <mergeCell ref="F8:R8"/>
    <mergeCell ref="F9:R9"/>
    <mergeCell ref="S6:T6"/>
    <mergeCell ref="S7:T7"/>
    <mergeCell ref="U7:W7"/>
    <mergeCell ref="U6:W6"/>
    <mergeCell ref="X6:Z6"/>
    <mergeCell ref="X7:Z7"/>
    <mergeCell ref="AA7:AD7"/>
    <mergeCell ref="AA6:AD6"/>
    <mergeCell ref="AE7:AH7"/>
    <mergeCell ref="AE6:AH6"/>
    <mergeCell ref="AI7:AK7"/>
    <mergeCell ref="AI6:AK6"/>
    <mergeCell ref="U8:W8"/>
    <mergeCell ref="U9:W9"/>
    <mergeCell ref="X8:Z8"/>
    <mergeCell ref="X9:Z9"/>
    <mergeCell ref="D6:E6"/>
    <mergeCell ref="AJ24:AK24"/>
    <mergeCell ref="J22:K22"/>
    <mergeCell ref="J23:K23"/>
    <mergeCell ref="J24:K24"/>
    <mergeCell ref="W20:X20"/>
    <mergeCell ref="W21:X21"/>
    <mergeCell ref="W22:X22"/>
    <mergeCell ref="W23:X23"/>
    <mergeCell ref="AJ21:AK21"/>
    <mergeCell ref="AJ22:AK22"/>
    <mergeCell ref="AJ23:AK23"/>
    <mergeCell ref="AD22:AI22"/>
    <mergeCell ref="AD23:AI23"/>
    <mergeCell ref="Q20:V20"/>
    <mergeCell ref="Q21:V21"/>
    <mergeCell ref="Q22:V22"/>
    <mergeCell ref="Q23:V23"/>
    <mergeCell ref="AD21:AI21"/>
    <mergeCell ref="D26:K26"/>
    <mergeCell ref="Q26:X26"/>
    <mergeCell ref="AD26:AK26"/>
    <mergeCell ref="AJ20:AK20"/>
    <mergeCell ref="D31:I31"/>
    <mergeCell ref="J31:K31"/>
    <mergeCell ref="Q31:V31"/>
    <mergeCell ref="W31:X31"/>
    <mergeCell ref="AD31:AI31"/>
    <mergeCell ref="AJ31:AK31"/>
    <mergeCell ref="D30:I30"/>
    <mergeCell ref="J30:K30"/>
    <mergeCell ref="Q30:V30"/>
    <mergeCell ref="W30:X30"/>
    <mergeCell ref="AD30:AI30"/>
    <mergeCell ref="D27:I27"/>
    <mergeCell ref="J27:K27"/>
    <mergeCell ref="Q27:V27"/>
    <mergeCell ref="W27:X27"/>
    <mergeCell ref="AD27:AI27"/>
    <mergeCell ref="AJ27:AK27"/>
    <mergeCell ref="W24:X24"/>
    <mergeCell ref="D22:I22"/>
    <mergeCell ref="D23:I23"/>
    <mergeCell ref="AJ30:AK30"/>
    <mergeCell ref="AJ28:AK28"/>
    <mergeCell ref="D29:I29"/>
    <mergeCell ref="J29:K29"/>
    <mergeCell ref="Q29:V29"/>
    <mergeCell ref="W29:X29"/>
    <mergeCell ref="AD29:AI29"/>
    <mergeCell ref="AJ29:AK29"/>
    <mergeCell ref="D28:I28"/>
    <mergeCell ref="J28:K28"/>
    <mergeCell ref="Q28:V28"/>
    <mergeCell ref="W28:X28"/>
    <mergeCell ref="AD28:AI28"/>
    <mergeCell ref="F6:R6"/>
    <mergeCell ref="C4:AL4"/>
    <mergeCell ref="S8:T8"/>
    <mergeCell ref="S9:T9"/>
    <mergeCell ref="S10:T10"/>
    <mergeCell ref="S11:T11"/>
    <mergeCell ref="S12:T12"/>
    <mergeCell ref="AI8:AK8"/>
    <mergeCell ref="AI9:AK9"/>
    <mergeCell ref="AI10:AK10"/>
    <mergeCell ref="AI11:AK11"/>
    <mergeCell ref="AI12:AK12"/>
    <mergeCell ref="AA11:AD11"/>
    <mergeCell ref="AA12:AD12"/>
    <mergeCell ref="AE8:AH8"/>
    <mergeCell ref="AE9:AH9"/>
    <mergeCell ref="AE10:AH10"/>
    <mergeCell ref="AE11:AH11"/>
    <mergeCell ref="AE12:AH12"/>
    <mergeCell ref="AA8:AD8"/>
    <mergeCell ref="AA9:AD9"/>
    <mergeCell ref="AA10:AD10"/>
    <mergeCell ref="D7:E7"/>
    <mergeCell ref="D8:E8"/>
  </mergeCells>
  <printOptions horizontalCentered="1" verticalCentered="1"/>
  <pageMargins left="0.2362204724409449" right="0.2362204724409449" top="0.3937007874015748" bottom="0.3937007874015748" header="0.31496062992125984" footer="0.31496062992125984"/>
  <pageSetup fitToHeight="1" fitToWidth="1" horizontalDpi="600" verticalDpi="600" orientation="landscape" paperSize="9" r:id="rId1"/>
  <colBreaks count="1" manualBreakCount="1">
    <brk id="39" max="65535" man="1"/>
  </colBreaks>
</worksheet>
</file>

<file path=xl/worksheets/sheet4.xml><?xml version="1.0" encoding="utf-8"?>
<worksheet xmlns="http://schemas.openxmlformats.org/spreadsheetml/2006/main" xmlns:r="http://schemas.openxmlformats.org/officeDocument/2006/relationships">
  <sheetPr codeName="Feuil2">
    <pageSetUpPr fitToPage="1"/>
  </sheetPr>
  <dimension ref="B2:AL40"/>
  <sheetViews>
    <sheetView showGridLines="0" showRowColHeaders="0" zoomScalePageLayoutView="0" workbookViewId="0" topLeftCell="A1">
      <selection activeCell="F37" sqref="F37:G37"/>
    </sheetView>
  </sheetViews>
  <sheetFormatPr defaultColWidth="11.57421875" defaultRowHeight="12.75"/>
  <cols>
    <col min="1" max="1" width="3.7109375" style="105" customWidth="1"/>
    <col min="2" max="3" width="2.00390625" style="105" customWidth="1"/>
    <col min="4" max="4" width="3.140625" style="105" customWidth="1"/>
    <col min="5" max="5" width="15.8515625" style="154" customWidth="1"/>
    <col min="6" max="6" width="4.140625" style="105" customWidth="1"/>
    <col min="7" max="8" width="1.57421875" style="105" customWidth="1"/>
    <col min="9" max="10" width="4.140625" style="105" customWidth="1"/>
    <col min="11" max="12" width="1.57421875" style="105" customWidth="1"/>
    <col min="13" max="14" width="4.140625" style="105" customWidth="1"/>
    <col min="15" max="16" width="1.57421875" style="105" customWidth="1"/>
    <col min="17" max="18" width="4.140625" style="105" customWidth="1"/>
    <col min="19" max="20" width="1.57421875" style="105" customWidth="1"/>
    <col min="21" max="22" width="4.140625" style="105" customWidth="1"/>
    <col min="23" max="24" width="1.57421875" style="105" customWidth="1"/>
    <col min="25" max="26" width="4.140625" style="105" customWidth="1"/>
    <col min="27" max="28" width="1.57421875" style="105" customWidth="1"/>
    <col min="29" max="29" width="4.140625" style="105" customWidth="1"/>
    <col min="30" max="35" width="7.140625" style="105" customWidth="1"/>
    <col min="36" max="36" width="2.00390625" style="105" customWidth="1"/>
    <col min="37" max="37" width="1.1484375" style="105" customWidth="1"/>
    <col min="38" max="38" width="0.85546875" style="105" customWidth="1"/>
    <col min="39" max="45" width="4.57421875" style="105" customWidth="1"/>
    <col min="46" max="54" width="8.8515625" style="105" customWidth="1"/>
    <col min="55" max="16384" width="11.57421875" style="105" customWidth="1"/>
  </cols>
  <sheetData>
    <row r="1" ht="12.75" customHeight="1"/>
    <row r="2" spans="2:37" ht="7.5" customHeight="1">
      <c r="B2" s="190"/>
      <c r="C2" s="191"/>
      <c r="D2" s="191"/>
      <c r="E2" s="192"/>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3"/>
    </row>
    <row r="3" spans="2:38" s="155" customFormat="1" ht="29.25" customHeight="1">
      <c r="B3" s="194"/>
      <c r="C3" s="181"/>
      <c r="D3" s="156"/>
      <c r="E3" s="182"/>
      <c r="F3" s="156"/>
      <c r="G3" s="156"/>
      <c r="H3" s="156"/>
      <c r="I3" s="157">
        <f>IF(ISTEXT('Runden - Tours'!I3),'Runden - Tours'!I3,"")</f>
      </c>
      <c r="J3" s="158"/>
      <c r="K3" s="158"/>
      <c r="L3" s="158"/>
      <c r="M3" s="158"/>
      <c r="N3" s="158"/>
      <c r="O3" s="158"/>
      <c r="P3" s="158"/>
      <c r="Q3" s="158"/>
      <c r="R3" s="158"/>
      <c r="S3" s="158"/>
      <c r="T3" s="158"/>
      <c r="U3" s="158"/>
      <c r="V3" s="158"/>
      <c r="W3" s="158"/>
      <c r="X3" s="158"/>
      <c r="Y3" s="158"/>
      <c r="Z3" s="158"/>
      <c r="AA3" s="158"/>
      <c r="AB3" s="158"/>
      <c r="AC3" s="892" t="str">
        <f>CONCATENATE(translate!B11," :")</f>
        <v>Date :</v>
      </c>
      <c r="AD3" s="892"/>
      <c r="AE3" s="892"/>
      <c r="AF3" s="892"/>
      <c r="AG3" s="895">
        <f>IF(ISNUMBER('Runden - Tours'!I4),'Runden - Tours'!I4,"")</f>
      </c>
      <c r="AH3" s="895"/>
      <c r="AI3" s="895"/>
      <c r="AJ3" s="183"/>
      <c r="AK3" s="195"/>
      <c r="AL3" s="250"/>
    </row>
    <row r="4" spans="2:38" ht="16.5">
      <c r="B4" s="196"/>
      <c r="C4" s="73"/>
      <c r="D4" s="156"/>
      <c r="E4" s="156"/>
      <c r="F4" s="156"/>
      <c r="G4" s="156"/>
      <c r="H4" s="156"/>
      <c r="I4" s="73"/>
      <c r="J4" s="158"/>
      <c r="K4" s="158"/>
      <c r="L4" s="158"/>
      <c r="M4" s="158"/>
      <c r="N4" s="158"/>
      <c r="O4" s="158"/>
      <c r="P4" s="158"/>
      <c r="Q4" s="158"/>
      <c r="R4" s="158"/>
      <c r="S4" s="158"/>
      <c r="T4" s="158"/>
      <c r="U4" s="158"/>
      <c r="V4" s="158"/>
      <c r="W4" s="158"/>
      <c r="X4" s="158"/>
      <c r="Y4" s="158"/>
      <c r="Z4" s="158"/>
      <c r="AA4" s="158"/>
      <c r="AB4" s="158"/>
      <c r="AC4" s="893" t="str">
        <f>CONCATENATE(translate!B12," :")</f>
        <v>Saison :</v>
      </c>
      <c r="AD4" s="893"/>
      <c r="AE4" s="893"/>
      <c r="AF4" s="893"/>
      <c r="AG4" s="896">
        <f>IF(ISBLANK('Runden - Tours'!M4),"",'Runden - Tours'!M4)</f>
      </c>
      <c r="AH4" s="896"/>
      <c r="AI4" s="896"/>
      <c r="AJ4" s="73"/>
      <c r="AK4" s="197"/>
      <c r="AL4" s="251"/>
    </row>
    <row r="5" spans="2:38" ht="16.5">
      <c r="B5" s="196"/>
      <c r="C5" s="73"/>
      <c r="D5" s="156"/>
      <c r="E5" s="156"/>
      <c r="F5" s="156"/>
      <c r="G5" s="156"/>
      <c r="H5" s="156"/>
      <c r="I5" s="159" t="str">
        <f>translate!B56</f>
        <v>CHAMPIONNAT INDIVIDUEL FSB – RESULTATS</v>
      </c>
      <c r="J5" s="184"/>
      <c r="K5" s="184"/>
      <c r="L5" s="184"/>
      <c r="M5" s="184"/>
      <c r="N5" s="184"/>
      <c r="O5" s="184"/>
      <c r="P5" s="184"/>
      <c r="Q5" s="184"/>
      <c r="R5" s="184"/>
      <c r="S5" s="184"/>
      <c r="T5" s="184"/>
      <c r="U5" s="184"/>
      <c r="V5" s="184"/>
      <c r="W5" s="184"/>
      <c r="X5" s="184"/>
      <c r="Y5" s="184"/>
      <c r="Z5" s="158"/>
      <c r="AA5" s="158"/>
      <c r="AB5" s="158"/>
      <c r="AC5" s="893" t="str">
        <f>CONCATENATE(translate!B8," :")</f>
        <v>Table (surface de jeu) :</v>
      </c>
      <c r="AD5" s="893"/>
      <c r="AE5" s="893"/>
      <c r="AF5" s="893"/>
      <c r="AG5" s="896">
        <f>IF(ISBLANK('Runden - Tours'!I10),"",'Runden - Tours'!I10)</f>
      </c>
      <c r="AH5" s="896"/>
      <c r="AI5" s="896"/>
      <c r="AJ5" s="185" t="s">
        <v>17</v>
      </c>
      <c r="AK5" s="197"/>
      <c r="AL5" s="251"/>
    </row>
    <row r="6" spans="2:38" ht="32.25" customHeight="1">
      <c r="B6" s="196"/>
      <c r="C6" s="73"/>
      <c r="D6" s="901"/>
      <c r="E6" s="901"/>
      <c r="F6" s="156"/>
      <c r="G6" s="156"/>
      <c r="H6" s="156"/>
      <c r="I6" s="160" t="str">
        <f>CONCATENATE('Runden - Tours'!$I$6,"  ",'Runden - Tours'!$I$7," - ",'Runden - Tours'!$I$8)</f>
        <v>   - </v>
      </c>
      <c r="J6" s="156"/>
      <c r="K6" s="158"/>
      <c r="L6" s="158"/>
      <c r="M6" s="158"/>
      <c r="N6" s="158"/>
      <c r="O6" s="158"/>
      <c r="P6" s="158"/>
      <c r="Q6" s="158"/>
      <c r="R6" s="158"/>
      <c r="S6" s="158"/>
      <c r="T6" s="158"/>
      <c r="U6" s="158"/>
      <c r="V6" s="158"/>
      <c r="W6" s="158"/>
      <c r="X6" s="158"/>
      <c r="Y6" s="158"/>
      <c r="Z6" s="156"/>
      <c r="AA6" s="161"/>
      <c r="AB6" s="161"/>
      <c r="AC6" s="894" t="str">
        <f>CONCATENATE(translate!B7," :")</f>
        <v>Points/reprises :</v>
      </c>
      <c r="AD6" s="894"/>
      <c r="AE6" s="894"/>
      <c r="AF6" s="894"/>
      <c r="AG6" s="902" t="str">
        <f>CONCATENATE('Runden - Tours'!I9," / ",'Runden - Tours'!L9)</f>
        <v> / </v>
      </c>
      <c r="AH6" s="902"/>
      <c r="AI6" s="902"/>
      <c r="AJ6" s="73"/>
      <c r="AK6" s="197"/>
      <c r="AL6" s="251"/>
    </row>
    <row r="7" spans="2:38" ht="13.5" customHeight="1" thickBot="1">
      <c r="B7" s="196"/>
      <c r="C7" s="73"/>
      <c r="D7" s="73"/>
      <c r="E7" s="162"/>
      <c r="F7" s="148"/>
      <c r="G7" s="148"/>
      <c r="H7" s="148"/>
      <c r="I7" s="148"/>
      <c r="J7" s="148"/>
      <c r="K7" s="148"/>
      <c r="L7" s="148"/>
      <c r="M7" s="148"/>
      <c r="N7" s="148"/>
      <c r="O7" s="148"/>
      <c r="P7" s="148"/>
      <c r="Q7" s="148"/>
      <c r="R7" s="148"/>
      <c r="S7" s="148"/>
      <c r="T7" s="148"/>
      <c r="U7" s="148"/>
      <c r="V7" s="148"/>
      <c r="W7" s="148"/>
      <c r="X7" s="148"/>
      <c r="Y7" s="148"/>
      <c r="Z7" s="148"/>
      <c r="AA7" s="148"/>
      <c r="AB7" s="148"/>
      <c r="AC7" s="148"/>
      <c r="AD7" s="163"/>
      <c r="AE7" s="163"/>
      <c r="AF7" s="163"/>
      <c r="AG7" s="148"/>
      <c r="AH7" s="148"/>
      <c r="AI7" s="148"/>
      <c r="AJ7" s="73"/>
      <c r="AK7" s="197"/>
      <c r="AL7" s="251"/>
    </row>
    <row r="8" spans="2:38" ht="15.75" customHeight="1" thickBot="1">
      <c r="B8" s="196"/>
      <c r="C8" s="73"/>
      <c r="D8" s="860" t="str">
        <f>translate!B9</f>
        <v>Joueur</v>
      </c>
      <c r="E8" s="861"/>
      <c r="F8" s="903">
        <f>$E$9</f>
      </c>
      <c r="G8" s="904"/>
      <c r="H8" s="904"/>
      <c r="I8" s="904"/>
      <c r="J8" s="905">
        <f>$E$13</f>
      </c>
      <c r="K8" s="905"/>
      <c r="L8" s="905"/>
      <c r="M8" s="905"/>
      <c r="N8" s="905">
        <f>$E$17</f>
      </c>
      <c r="O8" s="905"/>
      <c r="P8" s="905"/>
      <c r="Q8" s="905"/>
      <c r="R8" s="905">
        <f>$E$21</f>
      </c>
      <c r="S8" s="905"/>
      <c r="T8" s="905"/>
      <c r="U8" s="905"/>
      <c r="V8" s="905">
        <f>$E$25</f>
      </c>
      <c r="W8" s="905"/>
      <c r="X8" s="905"/>
      <c r="Y8" s="905"/>
      <c r="Z8" s="905">
        <f>$E$29</f>
      </c>
      <c r="AA8" s="905"/>
      <c r="AB8" s="905"/>
      <c r="AC8" s="905"/>
      <c r="AD8" s="151" t="str">
        <f>translate!B18</f>
        <v>PM</v>
      </c>
      <c r="AE8" s="152" t="str">
        <f>translate!B20</f>
        <v>Pts</v>
      </c>
      <c r="AF8" s="152" t="str">
        <f>translate!B15</f>
        <v>Rep</v>
      </c>
      <c r="AG8" s="152" t="str">
        <f>translate!B19</f>
        <v>MG</v>
      </c>
      <c r="AH8" s="152" t="str">
        <f>translate!B17</f>
        <v>MP</v>
      </c>
      <c r="AI8" s="153" t="str">
        <f>translate!B16</f>
        <v>Série</v>
      </c>
      <c r="AJ8" s="73"/>
      <c r="AK8" s="197"/>
      <c r="AL8" s="251"/>
    </row>
    <row r="9" spans="2:38" ht="15.75" customHeight="1" thickBot="1" thickTop="1">
      <c r="B9" s="196"/>
      <c r="C9" s="73"/>
      <c r="D9" s="897">
        <v>1</v>
      </c>
      <c r="E9" s="898">
        <f>IF(ISTEXT(calculations!B5),calculations!B5,"")</f>
      </c>
      <c r="F9" s="867">
        <f>calculations!AR5</f>
        <v>1</v>
      </c>
      <c r="G9" s="867"/>
      <c r="H9" s="867"/>
      <c r="I9" s="867"/>
      <c r="J9" s="164">
        <f>IF(ISNUMBER(calculations!$C$5),calculations!$C$5,"")</f>
      </c>
      <c r="K9" s="165"/>
      <c r="L9" s="166"/>
      <c r="M9" s="167">
        <f>IF(ISNUMBER(calculations!$E$5),calculations!$E$5,"")</f>
      </c>
      <c r="N9" s="164">
        <f>IF(ISNUMBER(calculations!$H$5),calculations!$H$5,"")</f>
      </c>
      <c r="O9" s="165"/>
      <c r="P9" s="166"/>
      <c r="Q9" s="167">
        <f>IF(ISNUMBER(calculations!$J$5),calculations!$J$5,"")</f>
      </c>
      <c r="R9" s="164">
        <f>IF(ISNUMBER(calculations!$M$5),calculations!$M$5,"")</f>
      </c>
      <c r="S9" s="165"/>
      <c r="T9" s="166"/>
      <c r="U9" s="167">
        <f>IF(ISNUMBER(calculations!$O$5),calculations!$O$5,"")</f>
      </c>
      <c r="V9" s="164">
        <f>IF(ISNUMBER(calculations!$R$5),calculations!$R$5,"")</f>
      </c>
      <c r="W9" s="165"/>
      <c r="X9" s="166"/>
      <c r="Y9" s="167">
        <f>IF(ISNUMBER(calculations!$T$5),calculations!$T$5,"")</f>
      </c>
      <c r="Z9" s="164">
        <f>IF(ISNUMBER(calculations!$W$5),calculations!$W$5,"")</f>
      </c>
      <c r="AA9" s="165"/>
      <c r="AB9" s="166"/>
      <c r="AC9" s="167">
        <f>IF(ISNUMBER(calculations!$Y$5),calculations!$Y$5,"")</f>
      </c>
      <c r="AD9" s="899">
        <f>calculations!AL5</f>
        <v>0</v>
      </c>
      <c r="AE9" s="900">
        <f>calculations!AM5</f>
        <v>0</v>
      </c>
      <c r="AF9" s="906">
        <f>calculations!AN5</f>
        <v>0</v>
      </c>
      <c r="AG9" s="887" t="str">
        <f>FIXED(calculations!AO5,calculations!$G$2)</f>
        <v>0.00</v>
      </c>
      <c r="AH9" s="887" t="str">
        <f>IF(calculations!AP5=0,"- - -",FIXED(calculations!AP5,calculations!$G$2))</f>
        <v>- - -</v>
      </c>
      <c r="AI9" s="888">
        <f>calculations!AQ5</f>
        <v>0</v>
      </c>
      <c r="AJ9" s="73"/>
      <c r="AK9" s="197"/>
      <c r="AL9" s="251"/>
    </row>
    <row r="10" spans="2:38" ht="9" customHeight="1" thickBot="1" thickTop="1">
      <c r="B10" s="196"/>
      <c r="C10" s="73"/>
      <c r="D10" s="865"/>
      <c r="E10" s="866"/>
      <c r="F10" s="867"/>
      <c r="G10" s="867"/>
      <c r="H10" s="867"/>
      <c r="I10" s="867"/>
      <c r="J10" s="168"/>
      <c r="K10" s="862">
        <f>IF(ISNUMBER(calculations!$G$5),calculations!$G$5,"")</f>
      </c>
      <c r="L10" s="862"/>
      <c r="M10" s="169"/>
      <c r="N10" s="168"/>
      <c r="O10" s="862">
        <f>IF(ISNUMBER(calculations!$L$5),calculations!$L$5,"")</f>
      </c>
      <c r="P10" s="862"/>
      <c r="Q10" s="169"/>
      <c r="R10" s="168"/>
      <c r="S10" s="862">
        <f>IF(ISNUMBER(calculations!$Q$5),calculations!$Q$5,"")</f>
      </c>
      <c r="T10" s="862"/>
      <c r="U10" s="169"/>
      <c r="V10" s="168"/>
      <c r="W10" s="862">
        <f>IF(ISNUMBER(calculations!$V$5),calculations!$V$5,"")</f>
      </c>
      <c r="X10" s="862"/>
      <c r="Y10" s="169"/>
      <c r="Z10" s="168"/>
      <c r="AA10" s="862">
        <f>IF(ISNUMBER(calculations!$AA$5),calculations!$AA$5,"")</f>
      </c>
      <c r="AB10" s="862"/>
      <c r="AC10" s="169"/>
      <c r="AD10" s="899"/>
      <c r="AE10" s="900"/>
      <c r="AF10" s="906"/>
      <c r="AG10" s="871"/>
      <c r="AH10" s="887"/>
      <c r="AI10" s="888"/>
      <c r="AJ10" s="73"/>
      <c r="AK10" s="197"/>
      <c r="AL10" s="251"/>
    </row>
    <row r="11" spans="2:38" ht="9" customHeight="1" thickBot="1" thickTop="1">
      <c r="B11" s="196"/>
      <c r="C11" s="73"/>
      <c r="D11" s="865"/>
      <c r="E11" s="863">
        <f>IF(ISTEXT(calculations!B6),calculations!B6,"")</f>
      </c>
      <c r="F11" s="867"/>
      <c r="G11" s="867"/>
      <c r="H11" s="867"/>
      <c r="I11" s="867"/>
      <c r="J11" s="170"/>
      <c r="K11" s="862"/>
      <c r="L11" s="862"/>
      <c r="M11" s="171"/>
      <c r="N11" s="170"/>
      <c r="O11" s="862"/>
      <c r="P11" s="862"/>
      <c r="Q11" s="171"/>
      <c r="R11" s="170"/>
      <c r="S11" s="862"/>
      <c r="T11" s="862"/>
      <c r="U11" s="171"/>
      <c r="V11" s="170"/>
      <c r="W11" s="862"/>
      <c r="X11" s="862"/>
      <c r="Y11" s="171"/>
      <c r="Z11" s="170"/>
      <c r="AA11" s="862"/>
      <c r="AB11" s="862"/>
      <c r="AC11" s="171"/>
      <c r="AD11" s="899"/>
      <c r="AE11" s="900"/>
      <c r="AF11" s="906"/>
      <c r="AG11" s="871"/>
      <c r="AH11" s="887"/>
      <c r="AI11" s="888"/>
      <c r="AJ11" s="73"/>
      <c r="AK11" s="197"/>
      <c r="AL11" s="251"/>
    </row>
    <row r="12" spans="2:38" ht="15.75" customHeight="1" thickBot="1" thickTop="1">
      <c r="B12" s="196"/>
      <c r="C12" s="73"/>
      <c r="D12" s="865"/>
      <c r="E12" s="863"/>
      <c r="F12" s="867"/>
      <c r="G12" s="867"/>
      <c r="H12" s="867"/>
      <c r="I12" s="867"/>
      <c r="J12" s="172">
        <f>IF(ISNUMBER(calculations!$F$5),FIXED(calculations!$F$5,calculations!$G$2),"")</f>
      </c>
      <c r="K12" s="173"/>
      <c r="L12" s="174"/>
      <c r="M12" s="175">
        <f>IF(ISNUMBER(calculations!$D$5),calculations!$D$5,"")</f>
      </c>
      <c r="N12" s="172">
        <f>IF(ISNUMBER(calculations!$K$5),FIXED(calculations!$K$5,calculations!$G$2),"")</f>
      </c>
      <c r="O12" s="173"/>
      <c r="P12" s="174"/>
      <c r="Q12" s="175">
        <f>IF(ISNUMBER(calculations!$I$5),calculations!$I$5,"")</f>
      </c>
      <c r="R12" s="172">
        <f>IF(ISNUMBER(calculations!$P$5),FIXED(calculations!$P$5,calculations!$G$2),"")</f>
      </c>
      <c r="S12" s="173"/>
      <c r="T12" s="174"/>
      <c r="U12" s="175">
        <f>IF(ISNUMBER(calculations!$N$5),calculations!$N$5,"")</f>
      </c>
      <c r="V12" s="172">
        <f>IF(ISNUMBER(calculations!$U$5),FIXED(calculations!$U$5,calculations!$G$2),"")</f>
      </c>
      <c r="W12" s="173"/>
      <c r="X12" s="174"/>
      <c r="Y12" s="175">
        <f>IF(ISNUMBER(calculations!$S$5),calculations!$S$5,"")</f>
      </c>
      <c r="Z12" s="172">
        <f>IF(ISNUMBER(calculations!$Z$5),FIXED(calculations!$Z$5,calculations!$G$2),"")</f>
      </c>
      <c r="AA12" s="173"/>
      <c r="AB12" s="174"/>
      <c r="AC12" s="175">
        <f>IF(ISNUMBER(calculations!$X$5),calculations!$X$5,"")</f>
      </c>
      <c r="AD12" s="899"/>
      <c r="AE12" s="900"/>
      <c r="AF12" s="906"/>
      <c r="AG12" s="871"/>
      <c r="AH12" s="887"/>
      <c r="AI12" s="888"/>
      <c r="AJ12" s="73"/>
      <c r="AK12" s="197"/>
      <c r="AL12" s="251"/>
    </row>
    <row r="13" spans="2:38" ht="15.75" customHeight="1" thickBot="1" thickTop="1">
      <c r="B13" s="196"/>
      <c r="C13" s="73"/>
      <c r="D13" s="865">
        <v>2</v>
      </c>
      <c r="E13" s="866">
        <f>IF(ISTEXT(calculations!B9),calculations!B9,"")</f>
      </c>
      <c r="F13" s="164">
        <f>IF(ISNUMBER(calculations!$C$6),calculations!$C$6,"")</f>
      </c>
      <c r="G13" s="165"/>
      <c r="H13" s="166"/>
      <c r="I13" s="167">
        <f>IF(ISNUMBER(calculations!$E$5),calculations!$E$5,"")</f>
      </c>
      <c r="J13" s="867">
        <f>calculations!AR9</f>
        <v>1</v>
      </c>
      <c r="K13" s="867"/>
      <c r="L13" s="867"/>
      <c r="M13" s="867"/>
      <c r="N13" s="164">
        <f>IF(ISNUMBER(calculations!$C$9),calculations!$C$9,"")</f>
      </c>
      <c r="O13" s="165"/>
      <c r="P13" s="166"/>
      <c r="Q13" s="167">
        <f>IF(ISNUMBER(calculations!$E$9),calculations!$E$9,"")</f>
      </c>
      <c r="R13" s="164">
        <f>IF(ISNUMBER(calculations!$H$9),calculations!$H$9,"")</f>
      </c>
      <c r="S13" s="165"/>
      <c r="T13" s="166"/>
      <c r="U13" s="167">
        <f>IF(ISNUMBER(calculations!$J$9),calculations!$J$9,"")</f>
      </c>
      <c r="V13" s="164">
        <f>IF(ISNUMBER(calculations!$M$9),calculations!$M$9,"")</f>
      </c>
      <c r="W13" s="165"/>
      <c r="X13" s="166"/>
      <c r="Y13" s="167">
        <f>IF(ISNUMBER(calculations!$O$9),calculations!$O$9,"")</f>
      </c>
      <c r="Z13" s="164">
        <f>IF(ISNUMBER(calculations!$R$9),calculations!$R$9,"")</f>
      </c>
      <c r="AA13" s="165"/>
      <c r="AB13" s="166"/>
      <c r="AC13" s="167">
        <f>IF(ISNUMBER(calculations!$T$9),calculations!$T$9,"")</f>
      </c>
      <c r="AD13" s="883">
        <f>calculations!AL9</f>
        <v>0</v>
      </c>
      <c r="AE13" s="884">
        <f>calculations!AM9</f>
        <v>0</v>
      </c>
      <c r="AF13" s="885">
        <f>calculations!AN9</f>
        <v>0</v>
      </c>
      <c r="AG13" s="871" t="str">
        <f>FIXED(calculations!AO9,calculations!$G$2)</f>
        <v>0.00</v>
      </c>
      <c r="AH13" s="873" t="str">
        <f>IF(calculations!AP9=0,"- - -",FIXED(calculations!AP9,calculations!$G$2))</f>
        <v>- - -</v>
      </c>
      <c r="AI13" s="882">
        <f>calculations!AQ9</f>
        <v>0</v>
      </c>
      <c r="AJ13" s="73"/>
      <c r="AK13" s="197"/>
      <c r="AL13" s="251"/>
    </row>
    <row r="14" spans="2:38" ht="9" customHeight="1" thickBot="1" thickTop="1">
      <c r="B14" s="196"/>
      <c r="C14" s="73"/>
      <c r="D14" s="865"/>
      <c r="E14" s="866"/>
      <c r="F14" s="168"/>
      <c r="G14" s="862">
        <f>IF(ISNUMBER(calculations!$G$6),calculations!$G$6,"")</f>
      </c>
      <c r="H14" s="862"/>
      <c r="I14" s="169"/>
      <c r="J14" s="867"/>
      <c r="K14" s="867"/>
      <c r="L14" s="867"/>
      <c r="M14" s="867"/>
      <c r="N14" s="168"/>
      <c r="O14" s="862">
        <f>IF(ISNUMBER(calculations!$G$9),calculations!$G$9,"")</f>
      </c>
      <c r="P14" s="862"/>
      <c r="Q14" s="169"/>
      <c r="R14" s="168"/>
      <c r="S14" s="862">
        <f>IF(ISNUMBER(calculations!$L$9),calculations!$L$9,"")</f>
      </c>
      <c r="T14" s="862"/>
      <c r="U14" s="169"/>
      <c r="V14" s="168"/>
      <c r="W14" s="862">
        <f>IF(ISNUMBER(calculations!$Q$9),calculations!$Q$9,"")</f>
      </c>
      <c r="X14" s="862"/>
      <c r="Y14" s="169"/>
      <c r="Z14" s="168"/>
      <c r="AA14" s="862">
        <f>IF(ISNUMBER(calculations!$V$9),calculations!$V$9,"")</f>
      </c>
      <c r="AB14" s="862"/>
      <c r="AC14" s="169"/>
      <c r="AD14" s="883"/>
      <c r="AE14" s="884"/>
      <c r="AF14" s="885"/>
      <c r="AG14" s="871"/>
      <c r="AH14" s="874"/>
      <c r="AI14" s="882"/>
      <c r="AJ14" s="73"/>
      <c r="AK14" s="197"/>
      <c r="AL14" s="251"/>
    </row>
    <row r="15" spans="2:38" ht="9" customHeight="1" thickBot="1" thickTop="1">
      <c r="B15" s="196"/>
      <c r="C15" s="73"/>
      <c r="D15" s="865"/>
      <c r="E15" s="886">
        <f>IF(ISTEXT(calculations!B10),calculations!B10,"")</f>
      </c>
      <c r="F15" s="170"/>
      <c r="G15" s="862"/>
      <c r="H15" s="862"/>
      <c r="I15" s="171"/>
      <c r="J15" s="867"/>
      <c r="K15" s="867"/>
      <c r="L15" s="867"/>
      <c r="M15" s="867"/>
      <c r="N15" s="170"/>
      <c r="O15" s="862"/>
      <c r="P15" s="862"/>
      <c r="Q15" s="171"/>
      <c r="R15" s="170"/>
      <c r="S15" s="862"/>
      <c r="T15" s="862"/>
      <c r="U15" s="171"/>
      <c r="V15" s="170"/>
      <c r="W15" s="862"/>
      <c r="X15" s="862"/>
      <c r="Y15" s="171"/>
      <c r="Z15" s="170"/>
      <c r="AA15" s="862"/>
      <c r="AB15" s="862"/>
      <c r="AC15" s="171"/>
      <c r="AD15" s="883"/>
      <c r="AE15" s="884"/>
      <c r="AF15" s="885"/>
      <c r="AG15" s="871"/>
      <c r="AH15" s="874"/>
      <c r="AI15" s="882"/>
      <c r="AJ15" s="73"/>
      <c r="AK15" s="197"/>
      <c r="AL15" s="251"/>
    </row>
    <row r="16" spans="2:38" ht="15.75" customHeight="1" thickBot="1" thickTop="1">
      <c r="B16" s="196"/>
      <c r="C16" s="73"/>
      <c r="D16" s="865"/>
      <c r="E16" s="886"/>
      <c r="F16" s="172">
        <f>IF(ISNUMBER(calculations!$F$6),FIXED(calculations!$F$6,calculations!$G$2),"")</f>
      </c>
      <c r="G16" s="173"/>
      <c r="H16" s="174"/>
      <c r="I16" s="175">
        <f>IF(ISNUMBER(calculations!$D$6),calculations!$D$6,"")</f>
      </c>
      <c r="J16" s="867"/>
      <c r="K16" s="867"/>
      <c r="L16" s="867"/>
      <c r="M16" s="867"/>
      <c r="N16" s="172">
        <f>IF(ISNUMBER(calculations!$F$9),FIXED(calculations!$F$9,calculations!$G$2),"")</f>
      </c>
      <c r="O16" s="173"/>
      <c r="P16" s="174"/>
      <c r="Q16" s="175">
        <f>IF(ISNUMBER(calculations!$D$9),calculations!$D$9,"")</f>
      </c>
      <c r="R16" s="172">
        <f>IF(ISNUMBER(calculations!$K$9),FIXED(calculations!$K$9,calculations!$G$2),"")</f>
      </c>
      <c r="S16" s="173"/>
      <c r="T16" s="174"/>
      <c r="U16" s="175">
        <f>IF(ISNUMBER(calculations!$I$9),calculations!$I$9,"")</f>
      </c>
      <c r="V16" s="172">
        <f>IF(ISNUMBER(calculations!$P$9),FIXED(calculations!$P$9,calculations!$G$2),"")</f>
      </c>
      <c r="W16" s="173"/>
      <c r="X16" s="174"/>
      <c r="Y16" s="175">
        <f>IF(ISNUMBER(calculations!$N$9),calculations!$N$9,"")</f>
      </c>
      <c r="Z16" s="172">
        <f>IF(ISNUMBER(calculations!$U$9),FIXED(calculations!$U$9,calculations!$G$2),"")</f>
      </c>
      <c r="AA16" s="173"/>
      <c r="AB16" s="174"/>
      <c r="AC16" s="175">
        <f>IF(ISNUMBER(calculations!$S$9),calculations!$S$9,"")</f>
      </c>
      <c r="AD16" s="883"/>
      <c r="AE16" s="884"/>
      <c r="AF16" s="885"/>
      <c r="AG16" s="871"/>
      <c r="AH16" s="881"/>
      <c r="AI16" s="882"/>
      <c r="AJ16" s="73"/>
      <c r="AK16" s="197"/>
      <c r="AL16" s="251"/>
    </row>
    <row r="17" spans="2:38" ht="15.75" customHeight="1" thickBot="1" thickTop="1">
      <c r="B17" s="196"/>
      <c r="C17" s="73"/>
      <c r="D17" s="865">
        <v>3</v>
      </c>
      <c r="E17" s="866">
        <f>IF(ISTEXT(calculations!B13),calculations!B13,"")</f>
      </c>
      <c r="F17" s="164">
        <f>IF(ISNUMBER(calculations!$H$6),calculations!$H$6,"")</f>
      </c>
      <c r="G17" s="165"/>
      <c r="H17" s="166"/>
      <c r="I17" s="167">
        <f>IF(ISNUMBER(calculations!$J$5),calculations!$J$5,"")</f>
      </c>
      <c r="J17" s="164">
        <f>IF(ISNUMBER(calculations!$C$10),calculations!$C$10,"")</f>
      </c>
      <c r="K17" s="165"/>
      <c r="L17" s="166"/>
      <c r="M17" s="167">
        <f>IF(ISNUMBER(calculations!$E$9),calculations!$E$9,"")</f>
      </c>
      <c r="N17" s="867">
        <f>calculations!AR13</f>
        <v>1</v>
      </c>
      <c r="O17" s="867"/>
      <c r="P17" s="867"/>
      <c r="Q17" s="867"/>
      <c r="R17" s="164">
        <f>IF(ISNUMBER(calculations!$C$13),calculations!$C$13,"")</f>
      </c>
      <c r="S17" s="165"/>
      <c r="T17" s="166"/>
      <c r="U17" s="167">
        <f>IF(ISNUMBER(calculations!$E$13),calculations!$E$13,"")</f>
      </c>
      <c r="V17" s="164">
        <f>IF(ISNUMBER(calculations!$H$13),calculations!$H$13,"")</f>
      </c>
      <c r="W17" s="165"/>
      <c r="X17" s="166"/>
      <c r="Y17" s="167">
        <f>IF(ISNUMBER(calculations!$J$13),calculations!$J$13,"")</f>
      </c>
      <c r="Z17" s="164">
        <f>IF(ISNUMBER(calculations!$M$13),calculations!$M$13,"")</f>
      </c>
      <c r="AA17" s="165"/>
      <c r="AB17" s="166"/>
      <c r="AC17" s="167">
        <f>IF(ISNUMBER(calculations!$O$13),calculations!$O$13,"")</f>
      </c>
      <c r="AD17" s="883">
        <f>calculations!AL13</f>
        <v>0</v>
      </c>
      <c r="AE17" s="884">
        <f>calculations!AM13</f>
        <v>0</v>
      </c>
      <c r="AF17" s="885">
        <f>calculations!AN13</f>
        <v>0</v>
      </c>
      <c r="AG17" s="871" t="str">
        <f>FIXED(calculations!AO13,calculations!$G$2)</f>
        <v>0.00</v>
      </c>
      <c r="AH17" s="873" t="str">
        <f>IF(calculations!AP13=0,"- - -",FIXED(calculations!AP13,calculations!$G$2))</f>
        <v>- - -</v>
      </c>
      <c r="AI17" s="882">
        <f>calculations!AQ13</f>
        <v>0</v>
      </c>
      <c r="AJ17" s="73"/>
      <c r="AK17" s="197"/>
      <c r="AL17" s="251"/>
    </row>
    <row r="18" spans="2:38" ht="9" customHeight="1" thickBot="1" thickTop="1">
      <c r="B18" s="196"/>
      <c r="C18" s="73"/>
      <c r="D18" s="865"/>
      <c r="E18" s="866"/>
      <c r="F18" s="168"/>
      <c r="G18" s="862">
        <f>IF(ISNUMBER(calculations!$L$6),calculations!$L$6,"")</f>
      </c>
      <c r="H18" s="862"/>
      <c r="I18" s="169"/>
      <c r="J18" s="168"/>
      <c r="K18" s="862">
        <f>IF(ISNUMBER(calculations!$G$10),calculations!$G$10,"")</f>
      </c>
      <c r="L18" s="862"/>
      <c r="M18" s="169"/>
      <c r="N18" s="867"/>
      <c r="O18" s="867"/>
      <c r="P18" s="867"/>
      <c r="Q18" s="867"/>
      <c r="R18" s="168"/>
      <c r="S18" s="862">
        <f>IF(ISNUMBER(calculations!$G$13),calculations!$G$13,"")</f>
      </c>
      <c r="T18" s="862"/>
      <c r="U18" s="169"/>
      <c r="V18" s="168"/>
      <c r="W18" s="862">
        <f>IF(ISNUMBER(calculations!$L$13),calculations!$L$13,"")</f>
      </c>
      <c r="X18" s="862"/>
      <c r="Y18" s="169"/>
      <c r="Z18" s="168"/>
      <c r="AA18" s="862">
        <f>IF(ISNUMBER(calculations!$Q$13),calculations!$Q$13,"")</f>
      </c>
      <c r="AB18" s="862"/>
      <c r="AC18" s="169"/>
      <c r="AD18" s="883"/>
      <c r="AE18" s="884"/>
      <c r="AF18" s="885"/>
      <c r="AG18" s="871"/>
      <c r="AH18" s="874"/>
      <c r="AI18" s="882"/>
      <c r="AJ18" s="73"/>
      <c r="AK18" s="197"/>
      <c r="AL18" s="251"/>
    </row>
    <row r="19" spans="2:38" ht="9" customHeight="1" thickBot="1" thickTop="1">
      <c r="B19" s="196"/>
      <c r="C19" s="73"/>
      <c r="D19" s="865"/>
      <c r="E19" s="886">
        <f>IF(ISTEXT(calculations!B14),calculations!B14,"")</f>
      </c>
      <c r="F19" s="170"/>
      <c r="G19" s="862"/>
      <c r="H19" s="862"/>
      <c r="I19" s="171"/>
      <c r="J19" s="170"/>
      <c r="K19" s="862"/>
      <c r="L19" s="862"/>
      <c r="M19" s="171"/>
      <c r="N19" s="867"/>
      <c r="O19" s="867"/>
      <c r="P19" s="867"/>
      <c r="Q19" s="867"/>
      <c r="R19" s="170"/>
      <c r="S19" s="862"/>
      <c r="T19" s="862"/>
      <c r="U19" s="171"/>
      <c r="V19" s="170"/>
      <c r="W19" s="862"/>
      <c r="X19" s="862"/>
      <c r="Y19" s="171"/>
      <c r="Z19" s="170"/>
      <c r="AA19" s="862"/>
      <c r="AB19" s="862"/>
      <c r="AC19" s="171"/>
      <c r="AD19" s="883"/>
      <c r="AE19" s="884"/>
      <c r="AF19" s="885"/>
      <c r="AG19" s="871"/>
      <c r="AH19" s="874"/>
      <c r="AI19" s="882"/>
      <c r="AJ19" s="73"/>
      <c r="AK19" s="197"/>
      <c r="AL19" s="251"/>
    </row>
    <row r="20" spans="2:38" ht="15.75" customHeight="1" thickBot="1" thickTop="1">
      <c r="B20" s="196"/>
      <c r="C20" s="73"/>
      <c r="D20" s="865"/>
      <c r="E20" s="886"/>
      <c r="F20" s="172">
        <f>IF(ISNUMBER(calculations!$K$6),FIXED(calculations!$K$6,calculations!$G$2),"")</f>
      </c>
      <c r="G20" s="173"/>
      <c r="H20" s="174"/>
      <c r="I20" s="175">
        <f>IF(ISNUMBER(calculations!$I$6),calculations!$I$6,"")</f>
      </c>
      <c r="J20" s="172">
        <f>IF(ISNUMBER(calculations!$F$10),FIXED(calculations!$F$10,calculations!$G$2),"")</f>
      </c>
      <c r="K20" s="173"/>
      <c r="L20" s="174"/>
      <c r="M20" s="175">
        <f>IF(ISNUMBER(calculations!$D$10),calculations!$D$10,"")</f>
      </c>
      <c r="N20" s="867"/>
      <c r="O20" s="867"/>
      <c r="P20" s="867"/>
      <c r="Q20" s="867"/>
      <c r="R20" s="172">
        <f>IF(ISNUMBER(calculations!$F$13),FIXED(calculations!$F$13,calculations!$G$2),"")</f>
      </c>
      <c r="S20" s="173"/>
      <c r="T20" s="174"/>
      <c r="U20" s="175">
        <f>IF(ISNUMBER(calculations!$D$13),calculations!$D$13,"")</f>
      </c>
      <c r="V20" s="172">
        <f>IF(ISNUMBER(calculations!$K$13),FIXED(calculations!$K$13,calculations!$G$2),"")</f>
      </c>
      <c r="W20" s="173"/>
      <c r="X20" s="174"/>
      <c r="Y20" s="175">
        <f>IF(ISNUMBER(calculations!$I$13),calculations!$I$13,"")</f>
      </c>
      <c r="Z20" s="172">
        <f>IF(ISNUMBER(calculations!$P$13),FIXED(calculations!$P$13,calculations!$G$2),"")</f>
      </c>
      <c r="AA20" s="173"/>
      <c r="AB20" s="174"/>
      <c r="AC20" s="175">
        <f>IF(ISNUMBER(calculations!$N$13),calculations!$N$13,"")</f>
      </c>
      <c r="AD20" s="883"/>
      <c r="AE20" s="884"/>
      <c r="AF20" s="885"/>
      <c r="AG20" s="871"/>
      <c r="AH20" s="881"/>
      <c r="AI20" s="882"/>
      <c r="AJ20" s="73"/>
      <c r="AK20" s="197"/>
      <c r="AL20" s="251"/>
    </row>
    <row r="21" spans="2:38" ht="15.75" customHeight="1" thickBot="1" thickTop="1">
      <c r="B21" s="196"/>
      <c r="C21" s="73"/>
      <c r="D21" s="865">
        <v>4</v>
      </c>
      <c r="E21" s="866">
        <f>IF(ISTEXT(calculations!B17),calculations!B17,"")</f>
      </c>
      <c r="F21" s="164">
        <f>IF(ISNUMBER(calculations!$M$6),calculations!$M$6,"")</f>
      </c>
      <c r="G21" s="165"/>
      <c r="H21" s="166"/>
      <c r="I21" s="167">
        <f>IF(ISNUMBER(calculations!$O$5),calculations!$O$5,"")</f>
      </c>
      <c r="J21" s="164">
        <f>IF(ISNUMBER(calculations!$H$10),calculations!$H$10,"")</f>
      </c>
      <c r="K21" s="165"/>
      <c r="L21" s="166"/>
      <c r="M21" s="167">
        <f>IF(ISNUMBER(calculations!$J$9),calculations!$J$9,"")</f>
      </c>
      <c r="N21" s="164">
        <f>IF(ISNUMBER(calculations!$C$14),calculations!$C$14,"")</f>
      </c>
      <c r="O21" s="165"/>
      <c r="P21" s="166"/>
      <c r="Q21" s="167">
        <f>IF(ISNUMBER(calculations!$E$13),calculations!$E$13,"")</f>
      </c>
      <c r="R21" s="867">
        <f>calculations!AR17</f>
        <v>1</v>
      </c>
      <c r="S21" s="867"/>
      <c r="T21" s="867"/>
      <c r="U21" s="867"/>
      <c r="V21" s="164">
        <f>IF(ISNUMBER(calculations!$C$17),calculations!$C$17,"")</f>
      </c>
      <c r="W21" s="165"/>
      <c r="X21" s="166"/>
      <c r="Y21" s="167">
        <f>IF(ISNUMBER(calculations!$E$17),calculations!$E$17,"")</f>
      </c>
      <c r="Z21" s="164">
        <f>IF(ISNUMBER(calculations!$H$17),calculations!$H$17,"")</f>
      </c>
      <c r="AA21" s="165"/>
      <c r="AB21" s="166"/>
      <c r="AC21" s="167">
        <f>IF(ISNUMBER(calculations!$J$17),calculations!$J$17,"")</f>
      </c>
      <c r="AD21" s="883">
        <f>calculations!AL17</f>
        <v>0</v>
      </c>
      <c r="AE21" s="884">
        <f>calculations!AM17</f>
        <v>0</v>
      </c>
      <c r="AF21" s="885">
        <f>calculations!AN17</f>
        <v>0</v>
      </c>
      <c r="AG21" s="871" t="str">
        <f>FIXED(calculations!AO17,calculations!$G$2)</f>
        <v>0.00</v>
      </c>
      <c r="AH21" s="873" t="str">
        <f>IF(calculations!AP17=0,"- - -",FIXED(calculations!AP17,calculations!$G$2))</f>
        <v>- - -</v>
      </c>
      <c r="AI21" s="882">
        <f>calculations!AQ17</f>
        <v>0</v>
      </c>
      <c r="AJ21" s="73"/>
      <c r="AK21" s="197"/>
      <c r="AL21" s="251"/>
    </row>
    <row r="22" spans="2:38" ht="9" customHeight="1" thickBot="1" thickTop="1">
      <c r="B22" s="196"/>
      <c r="C22" s="73"/>
      <c r="D22" s="865"/>
      <c r="E22" s="866"/>
      <c r="F22" s="168"/>
      <c r="G22" s="862">
        <f>IF(ISNUMBER(calculations!$Q$6),calculations!$Q$6,"")</f>
      </c>
      <c r="H22" s="862"/>
      <c r="I22" s="169"/>
      <c r="J22" s="168"/>
      <c r="K22" s="862">
        <f>IF(ISNUMBER(calculations!$L$10),calculations!$L$10,"")</f>
      </c>
      <c r="L22" s="862"/>
      <c r="M22" s="169"/>
      <c r="N22" s="168"/>
      <c r="O22" s="862">
        <f>IF(ISNUMBER(calculations!$G$14),calculations!$G$14,"")</f>
      </c>
      <c r="P22" s="862"/>
      <c r="Q22" s="169"/>
      <c r="R22" s="867"/>
      <c r="S22" s="867"/>
      <c r="T22" s="867"/>
      <c r="U22" s="867"/>
      <c r="V22" s="168"/>
      <c r="W22" s="862">
        <f>IF(ISNUMBER(calculations!$G$17),calculations!$G$17,"")</f>
      </c>
      <c r="X22" s="862"/>
      <c r="Y22" s="169"/>
      <c r="Z22" s="168"/>
      <c r="AA22" s="862">
        <f>IF(ISNUMBER(calculations!$L$17),calculations!$L$17,"")</f>
      </c>
      <c r="AB22" s="862"/>
      <c r="AC22" s="169"/>
      <c r="AD22" s="883"/>
      <c r="AE22" s="884"/>
      <c r="AF22" s="885"/>
      <c r="AG22" s="871"/>
      <c r="AH22" s="874"/>
      <c r="AI22" s="882"/>
      <c r="AJ22" s="73"/>
      <c r="AK22" s="197"/>
      <c r="AL22" s="251"/>
    </row>
    <row r="23" spans="2:38" ht="9" customHeight="1" thickBot="1" thickTop="1">
      <c r="B23" s="196"/>
      <c r="C23" s="73"/>
      <c r="D23" s="865"/>
      <c r="E23" s="886">
        <f>IF(ISTEXT(calculations!B18),calculations!B18,"")</f>
      </c>
      <c r="F23" s="170"/>
      <c r="G23" s="862"/>
      <c r="H23" s="862"/>
      <c r="I23" s="171"/>
      <c r="J23" s="170"/>
      <c r="K23" s="862"/>
      <c r="L23" s="862"/>
      <c r="M23" s="171"/>
      <c r="N23" s="170"/>
      <c r="O23" s="862"/>
      <c r="P23" s="862"/>
      <c r="Q23" s="171"/>
      <c r="R23" s="867"/>
      <c r="S23" s="867"/>
      <c r="T23" s="867"/>
      <c r="U23" s="867"/>
      <c r="V23" s="170"/>
      <c r="W23" s="862"/>
      <c r="X23" s="862"/>
      <c r="Y23" s="171"/>
      <c r="Z23" s="170"/>
      <c r="AA23" s="862"/>
      <c r="AB23" s="862"/>
      <c r="AC23" s="171"/>
      <c r="AD23" s="883"/>
      <c r="AE23" s="884"/>
      <c r="AF23" s="885"/>
      <c r="AG23" s="871"/>
      <c r="AH23" s="874"/>
      <c r="AI23" s="882"/>
      <c r="AJ23" s="73"/>
      <c r="AK23" s="197"/>
      <c r="AL23" s="251"/>
    </row>
    <row r="24" spans="2:38" ht="15.75" customHeight="1" thickBot="1" thickTop="1">
      <c r="B24" s="196"/>
      <c r="C24" s="73"/>
      <c r="D24" s="865"/>
      <c r="E24" s="886"/>
      <c r="F24" s="172">
        <f>IF(ISNUMBER(calculations!$P$6),FIXED(calculations!$P$6,calculations!$G$2),"")</f>
      </c>
      <c r="G24" s="173"/>
      <c r="H24" s="174"/>
      <c r="I24" s="175">
        <f>IF(ISNUMBER(calculations!$N$6),calculations!$N$6,"")</f>
      </c>
      <c r="J24" s="172">
        <f>IF(ISNUMBER(calculations!$K$10),FIXED(calculations!$K$10,calculations!$G$2),"")</f>
      </c>
      <c r="K24" s="173"/>
      <c r="L24" s="174"/>
      <c r="M24" s="175">
        <f>IF(ISNUMBER(calculations!$I$10),calculations!$I$10,"")</f>
      </c>
      <c r="N24" s="172">
        <f>IF(ISNUMBER(calculations!$F$14),FIXED(calculations!$F$14,calculations!$G$2),"")</f>
      </c>
      <c r="O24" s="173"/>
      <c r="P24" s="174"/>
      <c r="Q24" s="175">
        <f>IF(ISNUMBER(calculations!$D$14),calculations!$D$14,"")</f>
      </c>
      <c r="R24" s="867"/>
      <c r="S24" s="867"/>
      <c r="T24" s="867"/>
      <c r="U24" s="867"/>
      <c r="V24" s="172">
        <f>IF(ISNUMBER(calculations!$F$17),FIXED(calculations!$F$17,calculations!$G$2),"")</f>
      </c>
      <c r="W24" s="173"/>
      <c r="X24" s="174"/>
      <c r="Y24" s="175">
        <f>IF(ISNUMBER(calculations!$D$17),calculations!$D$17,"")</f>
      </c>
      <c r="Z24" s="172">
        <f>IF(ISNUMBER(calculations!$K$17),FIXED(calculations!$K$17,calculations!$G$2),"")</f>
      </c>
      <c r="AA24" s="173"/>
      <c r="AB24" s="174"/>
      <c r="AC24" s="175">
        <f>IF(ISNUMBER(calculations!$I$17),calculations!$I$17,"")</f>
      </c>
      <c r="AD24" s="883"/>
      <c r="AE24" s="884"/>
      <c r="AF24" s="885"/>
      <c r="AG24" s="871"/>
      <c r="AH24" s="881"/>
      <c r="AI24" s="882"/>
      <c r="AJ24" s="73"/>
      <c r="AK24" s="197"/>
      <c r="AL24" s="251"/>
    </row>
    <row r="25" spans="2:38" ht="15.75" customHeight="1" thickBot="1" thickTop="1">
      <c r="B25" s="196"/>
      <c r="C25" s="73"/>
      <c r="D25" s="865">
        <v>5</v>
      </c>
      <c r="E25" s="866">
        <f>IF(ISTEXT(calculations!B21),calculations!B21,"")</f>
      </c>
      <c r="F25" s="164">
        <f>IF(ISNUMBER(calculations!$R$6),calculations!$R$6,"")</f>
      </c>
      <c r="G25" s="165"/>
      <c r="H25" s="166"/>
      <c r="I25" s="167">
        <f>IF(ISNUMBER(calculations!$T$5),calculations!$T$5,"")</f>
      </c>
      <c r="J25" s="164">
        <f>IF(ISNUMBER(calculations!$M$10),calculations!$M$10,"")</f>
      </c>
      <c r="K25" s="165"/>
      <c r="L25" s="166"/>
      <c r="M25" s="167">
        <f>IF(ISNUMBER(calculations!$O$9),calculations!$O$9,"")</f>
      </c>
      <c r="N25" s="164">
        <f>IF(ISNUMBER(calculations!$H$14),calculations!$H$14,"")</f>
      </c>
      <c r="O25" s="165"/>
      <c r="P25" s="166"/>
      <c r="Q25" s="167">
        <f>IF(ISNUMBER(calculations!$J$13),calculations!$J$13,"")</f>
      </c>
      <c r="R25" s="164">
        <f>IF(ISNUMBER(calculations!$C$18),calculations!$C$18,"")</f>
      </c>
      <c r="S25" s="165"/>
      <c r="T25" s="166"/>
      <c r="U25" s="167">
        <f>IF(ISNUMBER(calculations!$E$17),calculations!$E$17,"")</f>
      </c>
      <c r="V25" s="867">
        <f>calculations!AR21</f>
        <v>1</v>
      </c>
      <c r="W25" s="867"/>
      <c r="X25" s="867"/>
      <c r="Y25" s="867"/>
      <c r="Z25" s="164">
        <f>IF(ISNUMBER(calculations!$C$21),calculations!$C$21,"")</f>
      </c>
      <c r="AA25" s="165"/>
      <c r="AB25" s="166"/>
      <c r="AC25" s="167">
        <f>IF(ISNUMBER(calculations!$E$21),calculations!$E$21,"")</f>
      </c>
      <c r="AD25" s="883">
        <f>calculations!AL21</f>
        <v>0</v>
      </c>
      <c r="AE25" s="884">
        <f>calculations!AM21</f>
        <v>0</v>
      </c>
      <c r="AF25" s="885">
        <f>calculations!AN21</f>
        <v>0</v>
      </c>
      <c r="AG25" s="871" t="str">
        <f>FIXED(calculations!AO21,calculations!$G$2)</f>
        <v>0.00</v>
      </c>
      <c r="AH25" s="873" t="str">
        <f>IF(calculations!AP21=0,"- - -",FIXED(calculations!AP21,calculations!$G$2))</f>
        <v>- - -</v>
      </c>
      <c r="AI25" s="882">
        <f>calculations!AQ21</f>
        <v>0</v>
      </c>
      <c r="AJ25" s="73"/>
      <c r="AK25" s="197"/>
      <c r="AL25" s="251"/>
    </row>
    <row r="26" spans="2:38" ht="9" customHeight="1" thickBot="1" thickTop="1">
      <c r="B26" s="196"/>
      <c r="C26" s="73"/>
      <c r="D26" s="865"/>
      <c r="E26" s="866"/>
      <c r="F26" s="168"/>
      <c r="G26" s="862">
        <f>IF(ISNUMBER(calculations!$V$6),calculations!$V$6,"")</f>
      </c>
      <c r="H26" s="862"/>
      <c r="I26" s="169"/>
      <c r="J26" s="168"/>
      <c r="K26" s="862">
        <f>IF(ISNUMBER(calculations!$Q$10),calculations!$Q$10,"")</f>
      </c>
      <c r="L26" s="862"/>
      <c r="M26" s="169"/>
      <c r="N26" s="168"/>
      <c r="O26" s="862">
        <f>IF(ISNUMBER(calculations!$L$14),calculations!$L$14,"")</f>
      </c>
      <c r="P26" s="862"/>
      <c r="Q26" s="169"/>
      <c r="R26" s="168"/>
      <c r="S26" s="862">
        <f>IF(ISNUMBER(calculations!$G$18),calculations!$G$18,"")</f>
      </c>
      <c r="T26" s="862"/>
      <c r="U26" s="169"/>
      <c r="V26" s="867"/>
      <c r="W26" s="867"/>
      <c r="X26" s="867"/>
      <c r="Y26" s="867"/>
      <c r="Z26" s="168"/>
      <c r="AA26" s="862">
        <f>IF(ISNUMBER(calculations!$G$21),calculations!$G$21,"")</f>
      </c>
      <c r="AB26" s="862"/>
      <c r="AC26" s="169"/>
      <c r="AD26" s="883"/>
      <c r="AE26" s="884"/>
      <c r="AF26" s="885"/>
      <c r="AG26" s="871"/>
      <c r="AH26" s="874"/>
      <c r="AI26" s="882"/>
      <c r="AJ26" s="73"/>
      <c r="AK26" s="197"/>
      <c r="AL26" s="251"/>
    </row>
    <row r="27" spans="2:38" ht="9" customHeight="1" thickBot="1" thickTop="1">
      <c r="B27" s="196"/>
      <c r="C27" s="73"/>
      <c r="D27" s="865"/>
      <c r="E27" s="863">
        <f>IF(ISTEXT(calculations!B22),calculations!B22,"")</f>
      </c>
      <c r="F27" s="170"/>
      <c r="G27" s="862"/>
      <c r="H27" s="862"/>
      <c r="I27" s="171"/>
      <c r="J27" s="170"/>
      <c r="K27" s="862"/>
      <c r="L27" s="862"/>
      <c r="M27" s="171"/>
      <c r="N27" s="170"/>
      <c r="O27" s="862"/>
      <c r="P27" s="862"/>
      <c r="Q27" s="171"/>
      <c r="R27" s="170"/>
      <c r="S27" s="862"/>
      <c r="T27" s="862"/>
      <c r="U27" s="171"/>
      <c r="V27" s="867"/>
      <c r="W27" s="867"/>
      <c r="X27" s="867"/>
      <c r="Y27" s="867"/>
      <c r="Z27" s="170"/>
      <c r="AA27" s="862"/>
      <c r="AB27" s="862"/>
      <c r="AC27" s="171"/>
      <c r="AD27" s="883"/>
      <c r="AE27" s="884"/>
      <c r="AF27" s="885"/>
      <c r="AG27" s="871"/>
      <c r="AH27" s="874"/>
      <c r="AI27" s="882"/>
      <c r="AJ27" s="73"/>
      <c r="AK27" s="197"/>
      <c r="AL27" s="251"/>
    </row>
    <row r="28" spans="2:38" ht="15.75" customHeight="1" thickBot="1" thickTop="1">
      <c r="B28" s="196"/>
      <c r="C28" s="73"/>
      <c r="D28" s="865"/>
      <c r="E28" s="863"/>
      <c r="F28" s="172">
        <f>IF(ISNUMBER(calculations!$U$6),FIXED(calculations!$U$6,calculations!$G$2),"")</f>
      </c>
      <c r="G28" s="173"/>
      <c r="H28" s="174"/>
      <c r="I28" s="175">
        <f>IF(ISNUMBER(calculations!$S$6),calculations!$S$6,"")</f>
      </c>
      <c r="J28" s="172">
        <f>IF(ISNUMBER(calculations!$P$10),FIXED(calculations!$P$10,calculations!$G$2),"")</f>
      </c>
      <c r="K28" s="173"/>
      <c r="L28" s="174"/>
      <c r="M28" s="175">
        <f>IF(ISNUMBER(calculations!$N$10),calculations!$N$10,"")</f>
      </c>
      <c r="N28" s="172">
        <f>IF(ISNUMBER(calculations!$K$14),FIXED(calculations!$K$14,calculations!$G$2),"")</f>
      </c>
      <c r="O28" s="173"/>
      <c r="P28" s="174"/>
      <c r="Q28" s="175">
        <f>IF(ISNUMBER(calculations!$I$14),calculations!$I$14,"")</f>
      </c>
      <c r="R28" s="172">
        <f>IF(ISNUMBER(calculations!$F$18),FIXED(calculations!$F$18,calculations!$G$2),"")</f>
      </c>
      <c r="S28" s="173"/>
      <c r="T28" s="174"/>
      <c r="U28" s="175">
        <f>IF(ISNUMBER(calculations!$D$18),calculations!$D$18,"")</f>
      </c>
      <c r="V28" s="867"/>
      <c r="W28" s="867"/>
      <c r="X28" s="867"/>
      <c r="Y28" s="867"/>
      <c r="Z28" s="172">
        <f>IF(ISNUMBER(calculations!$F$21),FIXED(calculations!$F$21,calculations!$G$2),"")</f>
      </c>
      <c r="AA28" s="173"/>
      <c r="AB28" s="174"/>
      <c r="AC28" s="175">
        <f>IF(ISNUMBER(calculations!$D$21),calculations!$D$21,"")</f>
      </c>
      <c r="AD28" s="883"/>
      <c r="AE28" s="884"/>
      <c r="AF28" s="885"/>
      <c r="AG28" s="871"/>
      <c r="AH28" s="881"/>
      <c r="AI28" s="882"/>
      <c r="AJ28" s="73"/>
      <c r="AK28" s="197"/>
      <c r="AL28" s="251"/>
    </row>
    <row r="29" spans="2:38" ht="15.75" customHeight="1" thickBot="1" thickTop="1">
      <c r="B29" s="196"/>
      <c r="C29" s="73"/>
      <c r="D29" s="865">
        <v>6</v>
      </c>
      <c r="E29" s="866">
        <f>IF(ISTEXT(calculations!B25),calculations!B25,"")</f>
      </c>
      <c r="F29" s="164">
        <f>IF(ISNUMBER(calculations!$W$6),calculations!$W$6,"")</f>
      </c>
      <c r="G29" s="165"/>
      <c r="H29" s="166"/>
      <c r="I29" s="167">
        <f>IF(ISNUMBER(calculations!$Y$5),calculations!$Y$5,"")</f>
      </c>
      <c r="J29" s="164">
        <f>IF(ISNUMBER(calculations!$R$10),calculations!$R$10,"")</f>
      </c>
      <c r="K29" s="165"/>
      <c r="L29" s="166"/>
      <c r="M29" s="167">
        <f>IF(ISNUMBER(calculations!$T$9),calculations!$T$9,"")</f>
      </c>
      <c r="N29" s="164">
        <f>IF(ISNUMBER(calculations!$M$14),calculations!$M$14,"")</f>
      </c>
      <c r="O29" s="165"/>
      <c r="P29" s="166"/>
      <c r="Q29" s="167">
        <f>IF(ISNUMBER(calculations!$O$13),calculations!$O$13,"")</f>
      </c>
      <c r="R29" s="164">
        <f>IF(ISNUMBER(calculations!$H$18),calculations!$H$18,"")</f>
      </c>
      <c r="S29" s="165"/>
      <c r="T29" s="166"/>
      <c r="U29" s="167">
        <f>IF(ISNUMBER(calculations!$J$17),calculations!$J$17,"")</f>
      </c>
      <c r="V29" s="164">
        <f>IF(ISNUMBER(calculations!$C$22),calculations!$C$22,"")</f>
      </c>
      <c r="W29" s="165"/>
      <c r="X29" s="166"/>
      <c r="Y29" s="167">
        <f>IF(ISNUMBER(calculations!$E$21),calculations!$E$21,"")</f>
      </c>
      <c r="Z29" s="867">
        <f>calculations!AR25</f>
        <v>1</v>
      </c>
      <c r="AA29" s="867"/>
      <c r="AB29" s="867"/>
      <c r="AC29" s="867"/>
      <c r="AD29" s="868">
        <f>calculations!AL25</f>
        <v>0</v>
      </c>
      <c r="AE29" s="869">
        <f>calculations!AM25</f>
        <v>0</v>
      </c>
      <c r="AF29" s="870">
        <f>calculations!AN25</f>
        <v>0</v>
      </c>
      <c r="AG29" s="871" t="str">
        <f>FIXED(calculations!AO25,calculations!$G$2)</f>
        <v>0.00</v>
      </c>
      <c r="AH29" s="873" t="str">
        <f>IF(calculations!AP25=0,"- - -",FIXED(calculations!AP25,calculations!$G$2))</f>
        <v>- - -</v>
      </c>
      <c r="AI29" s="876">
        <f>calculations!AQ25</f>
        <v>0</v>
      </c>
      <c r="AJ29" s="73"/>
      <c r="AK29" s="197"/>
      <c r="AL29" s="251"/>
    </row>
    <row r="30" spans="2:38" ht="9" customHeight="1" thickBot="1" thickTop="1">
      <c r="B30" s="196"/>
      <c r="C30" s="73"/>
      <c r="D30" s="865"/>
      <c r="E30" s="866"/>
      <c r="F30" s="168"/>
      <c r="G30" s="862">
        <f>IF(ISNUMBER(calculations!$AA$6),calculations!$AA$6,"")</f>
      </c>
      <c r="H30" s="862"/>
      <c r="I30" s="169"/>
      <c r="J30" s="168"/>
      <c r="K30" s="862">
        <f>IF(ISNUMBER(calculations!$V$10),calculations!$V$10,"")</f>
      </c>
      <c r="L30" s="862"/>
      <c r="M30" s="169"/>
      <c r="N30" s="168"/>
      <c r="O30" s="862">
        <f>IF(ISNUMBER(calculations!$Q$14),calculations!$Q$14,"")</f>
      </c>
      <c r="P30" s="862"/>
      <c r="Q30" s="169"/>
      <c r="R30" s="168"/>
      <c r="S30" s="862">
        <f>IF(ISNUMBER(calculations!$L$18),calculations!$L$18,"")</f>
      </c>
      <c r="T30" s="862"/>
      <c r="U30" s="169"/>
      <c r="V30" s="168"/>
      <c r="W30" s="862">
        <f>IF(ISNUMBER(calculations!$G$22),calculations!$G$22,"")</f>
      </c>
      <c r="X30" s="862"/>
      <c r="Y30" s="169"/>
      <c r="Z30" s="867"/>
      <c r="AA30" s="867"/>
      <c r="AB30" s="867"/>
      <c r="AC30" s="867"/>
      <c r="AD30" s="868"/>
      <c r="AE30" s="869"/>
      <c r="AF30" s="870"/>
      <c r="AG30" s="871"/>
      <c r="AH30" s="874"/>
      <c r="AI30" s="876"/>
      <c r="AJ30" s="73"/>
      <c r="AK30" s="197"/>
      <c r="AL30" s="251"/>
    </row>
    <row r="31" spans="2:38" ht="9" customHeight="1" thickBot="1" thickTop="1">
      <c r="B31" s="196"/>
      <c r="C31" s="73"/>
      <c r="D31" s="865"/>
      <c r="E31" s="863">
        <f>IF(ISTEXT(calculations!B26),calculations!B26,"")</f>
      </c>
      <c r="F31" s="170"/>
      <c r="G31" s="862"/>
      <c r="H31" s="862"/>
      <c r="I31" s="171"/>
      <c r="J31" s="170"/>
      <c r="K31" s="862"/>
      <c r="L31" s="862"/>
      <c r="M31" s="171"/>
      <c r="N31" s="170"/>
      <c r="O31" s="862"/>
      <c r="P31" s="862"/>
      <c r="Q31" s="171"/>
      <c r="R31" s="170"/>
      <c r="S31" s="862"/>
      <c r="T31" s="862"/>
      <c r="U31" s="171"/>
      <c r="V31" s="170"/>
      <c r="W31" s="862"/>
      <c r="X31" s="862"/>
      <c r="Y31" s="171"/>
      <c r="Z31" s="867"/>
      <c r="AA31" s="867"/>
      <c r="AB31" s="867"/>
      <c r="AC31" s="867"/>
      <c r="AD31" s="868"/>
      <c r="AE31" s="869"/>
      <c r="AF31" s="870"/>
      <c r="AG31" s="871"/>
      <c r="AH31" s="874"/>
      <c r="AI31" s="876"/>
      <c r="AJ31" s="73"/>
      <c r="AK31" s="197"/>
      <c r="AL31" s="251"/>
    </row>
    <row r="32" spans="2:38" ht="15.75" customHeight="1" thickBot="1" thickTop="1">
      <c r="B32" s="196"/>
      <c r="C32" s="73"/>
      <c r="D32" s="865"/>
      <c r="E32" s="863"/>
      <c r="F32" s="172">
        <f>IF(ISNUMBER(calculations!$Z$6),FIXED(calculations!$Z$6,calculations!$G$2),"")</f>
      </c>
      <c r="G32" s="173"/>
      <c r="H32" s="174"/>
      <c r="I32" s="175">
        <f>IF(ISNUMBER(calculations!$X$6),calculations!$X$6,"")</f>
      </c>
      <c r="J32" s="172">
        <f>IF(ISNUMBER(calculations!$U$10),FIXED(calculations!$U$10,calculations!$G$2),"")</f>
      </c>
      <c r="K32" s="173"/>
      <c r="L32" s="174"/>
      <c r="M32" s="175">
        <f>IF(ISNUMBER(calculations!$S$10),calculations!$S$10,"")</f>
      </c>
      <c r="N32" s="172">
        <f>IF(ISNUMBER(calculations!$P$14),FIXED(calculations!$P$14,calculations!$G$2),"")</f>
      </c>
      <c r="O32" s="173"/>
      <c r="P32" s="174"/>
      <c r="Q32" s="175">
        <f>IF(ISNUMBER(calculations!$N$14),calculations!$N$14,"")</f>
      </c>
      <c r="R32" s="172">
        <f>IF(ISNUMBER(calculations!$K$18),FIXED(calculations!$K$18,calculations!$G$2),"")</f>
      </c>
      <c r="S32" s="173"/>
      <c r="T32" s="174"/>
      <c r="U32" s="175">
        <f>IF(ISNUMBER(calculations!$I$18),calculations!$I$18,"")</f>
      </c>
      <c r="V32" s="172">
        <f>IF(ISNUMBER(calculations!$F$22),FIXED(calculations!$F$22,calculations!$G$2),"")</f>
      </c>
      <c r="W32" s="173"/>
      <c r="X32" s="174"/>
      <c r="Y32" s="175">
        <f>IF(ISNUMBER(calculations!$D$22),calculations!$D$22,"")</f>
      </c>
      <c r="Z32" s="867"/>
      <c r="AA32" s="867"/>
      <c r="AB32" s="867"/>
      <c r="AC32" s="867"/>
      <c r="AD32" s="868"/>
      <c r="AE32" s="869"/>
      <c r="AF32" s="870"/>
      <c r="AG32" s="872"/>
      <c r="AH32" s="875"/>
      <c r="AI32" s="876"/>
      <c r="AJ32" s="73"/>
      <c r="AK32" s="197"/>
      <c r="AL32" s="251"/>
    </row>
    <row r="33" spans="2:38" ht="21" customHeight="1" thickBot="1">
      <c r="B33" s="196"/>
      <c r="C33" s="73"/>
      <c r="D33" s="73"/>
      <c r="E33" s="162"/>
      <c r="F33" s="176"/>
      <c r="G33" s="176"/>
      <c r="H33" s="176"/>
      <c r="I33" s="176"/>
      <c r="J33" s="73"/>
      <c r="K33" s="73"/>
      <c r="L33" s="73"/>
      <c r="M33" s="73"/>
      <c r="N33" s="73"/>
      <c r="O33" s="73"/>
      <c r="P33" s="73"/>
      <c r="Q33" s="73"/>
      <c r="R33" s="73"/>
      <c r="S33" s="73"/>
      <c r="T33" s="73"/>
      <c r="U33" s="73"/>
      <c r="V33" s="73"/>
      <c r="W33" s="73"/>
      <c r="X33" s="73"/>
      <c r="Y33" s="73"/>
      <c r="Z33" s="73"/>
      <c r="AA33" s="73"/>
      <c r="AB33" s="73"/>
      <c r="AC33" s="73"/>
      <c r="AD33" s="73"/>
      <c r="AE33" s="177">
        <f>SUM(AE9:AE32)</f>
        <v>0</v>
      </c>
      <c r="AF33" s="178">
        <f>SUM(AF9:AF32)</f>
        <v>0</v>
      </c>
      <c r="AG33" s="73"/>
      <c r="AH33" s="73"/>
      <c r="AI33" s="73"/>
      <c r="AJ33" s="73"/>
      <c r="AK33" s="197"/>
      <c r="AL33" s="251"/>
    </row>
    <row r="34" spans="2:38" ht="8.25" customHeight="1">
      <c r="B34" s="196"/>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186"/>
      <c r="AF34" s="186"/>
      <c r="AG34" s="186"/>
      <c r="AH34" s="186"/>
      <c r="AI34" s="73"/>
      <c r="AJ34" s="73"/>
      <c r="AK34" s="197"/>
      <c r="AL34" s="251"/>
    </row>
    <row r="35" spans="2:38" ht="21" customHeight="1">
      <c r="B35" s="196"/>
      <c r="C35" s="73"/>
      <c r="D35" s="73"/>
      <c r="E35" s="437" t="str">
        <f>translate!B47</f>
        <v>Meilleure MG:</v>
      </c>
      <c r="F35" s="877" t="str">
        <f>FIXED(calculations!AO36,calculations!$G$2)</f>
        <v>0.00</v>
      </c>
      <c r="G35" s="877"/>
      <c r="H35" s="180"/>
      <c r="I35" s="878" t="str">
        <f>calculations!C38</f>
        <v> -  -  -  -  - </v>
      </c>
      <c r="J35" s="878"/>
      <c r="K35" s="878"/>
      <c r="L35" s="878"/>
      <c r="M35" s="878"/>
      <c r="N35" s="878"/>
      <c r="O35" s="878"/>
      <c r="P35" s="878"/>
      <c r="Q35" s="878"/>
      <c r="R35" s="878"/>
      <c r="S35" s="878"/>
      <c r="T35" s="878"/>
      <c r="U35" s="878"/>
      <c r="V35" s="878"/>
      <c r="W35" s="878"/>
      <c r="X35" s="878"/>
      <c r="Y35" s="878"/>
      <c r="Z35" s="187" t="str">
        <f>CONCATENATE(translate!B45," :")</f>
        <v>Moyenne tournoi :</v>
      </c>
      <c r="AA35" s="188"/>
      <c r="AB35" s="188"/>
      <c r="AC35" s="188"/>
      <c r="AD35" s="188"/>
      <c r="AE35" s="179">
        <f>IF(AF33=0,"",FIXED(ROUNDDOWN(AE33/AF33,calculations!$G$2),calculations!$G$2))</f>
      </c>
      <c r="AF35" s="188"/>
      <c r="AG35" s="188"/>
      <c r="AH35" s="180"/>
      <c r="AI35" s="188"/>
      <c r="AJ35" s="73"/>
      <c r="AK35" s="197"/>
      <c r="AL35" s="251"/>
    </row>
    <row r="36" spans="2:38" s="107" customFormat="1" ht="21" customHeight="1">
      <c r="B36" s="198"/>
      <c r="C36" s="189"/>
      <c r="D36" s="189"/>
      <c r="E36" s="437" t="str">
        <f>translate!B46</f>
        <v>Meilleure MP:</v>
      </c>
      <c r="F36" s="877" t="str">
        <f>FIXED(calculations!AP36,calculations!$G$2)</f>
        <v>0.00</v>
      </c>
      <c r="G36" s="877"/>
      <c r="H36" s="180"/>
      <c r="I36" s="878" t="str">
        <f>calculations!C37</f>
        <v> -  -  -  -  - </v>
      </c>
      <c r="J36" s="878"/>
      <c r="K36" s="878"/>
      <c r="L36" s="878"/>
      <c r="M36" s="878"/>
      <c r="N36" s="878"/>
      <c r="O36" s="878"/>
      <c r="P36" s="878"/>
      <c r="Q36" s="878"/>
      <c r="R36" s="878"/>
      <c r="S36" s="878"/>
      <c r="T36" s="878"/>
      <c r="U36" s="878"/>
      <c r="V36" s="878"/>
      <c r="W36" s="878"/>
      <c r="X36" s="878"/>
      <c r="Y36" s="878"/>
      <c r="Z36" s="188"/>
      <c r="AA36" s="188"/>
      <c r="AB36" s="188"/>
      <c r="AC36" s="188"/>
      <c r="AD36" s="188"/>
      <c r="AE36" s="188"/>
      <c r="AF36" s="188"/>
      <c r="AG36" s="188"/>
      <c r="AH36" s="188"/>
      <c r="AI36" s="188"/>
      <c r="AJ36" s="189"/>
      <c r="AK36" s="199"/>
      <c r="AL36" s="252"/>
    </row>
    <row r="37" spans="2:38" s="107" customFormat="1" ht="21" customHeight="1">
      <c r="B37" s="198"/>
      <c r="C37" s="189"/>
      <c r="D37" s="189"/>
      <c r="E37" s="437" t="str">
        <f>translate!B48</f>
        <v>Meilleure série:</v>
      </c>
      <c r="F37" s="879">
        <f>calculations!AQ36</f>
        <v>0</v>
      </c>
      <c r="G37" s="879"/>
      <c r="H37" s="435"/>
      <c r="I37" s="880" t="str">
        <f>calculations!C39</f>
        <v> -  -  -  -  - </v>
      </c>
      <c r="J37" s="880"/>
      <c r="K37" s="880"/>
      <c r="L37" s="880"/>
      <c r="M37" s="880"/>
      <c r="N37" s="880"/>
      <c r="O37" s="880"/>
      <c r="P37" s="880"/>
      <c r="Q37" s="880"/>
      <c r="R37" s="880"/>
      <c r="S37" s="880"/>
      <c r="T37" s="880"/>
      <c r="U37" s="880"/>
      <c r="V37" s="880"/>
      <c r="W37" s="880"/>
      <c r="X37" s="880"/>
      <c r="Y37" s="880"/>
      <c r="Z37" s="433" t="str">
        <f>CONCATENATE(translate!B13," :")</f>
        <v>Direction :</v>
      </c>
      <c r="AA37" s="434"/>
      <c r="AB37" s="434"/>
      <c r="AC37" s="434"/>
      <c r="AD37" s="864">
        <f>T('Runden - Tours'!S3)</f>
      </c>
      <c r="AE37" s="864"/>
      <c r="AF37" s="864"/>
      <c r="AG37" s="864"/>
      <c r="AH37" s="864"/>
      <c r="AI37" s="864"/>
      <c r="AJ37" s="189"/>
      <c r="AK37" s="199"/>
      <c r="AL37" s="252"/>
    </row>
    <row r="38" spans="2:38" ht="31.5" customHeight="1">
      <c r="B38" s="196"/>
      <c r="C38" s="73"/>
      <c r="D38" s="73"/>
      <c r="E38" s="436" t="str">
        <f>translate!B37</f>
        <v>Remarques</v>
      </c>
      <c r="F38" s="889">
        <f>IF(ISTEXT('Runden - Tours'!S4),'Runden - Tours'!S4,"")</f>
      </c>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1"/>
      <c r="AJ38" s="73"/>
      <c r="AK38" s="197"/>
      <c r="AL38" s="251"/>
    </row>
    <row r="39" spans="2:38" ht="6.75" customHeight="1">
      <c r="B39" s="200"/>
      <c r="C39" s="201"/>
      <c r="D39" s="201"/>
      <c r="E39" s="202"/>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3"/>
      <c r="AL39" s="251"/>
    </row>
    <row r="40" spans="3:38" ht="3.75" customHeight="1">
      <c r="C40" s="251"/>
      <c r="D40" s="251"/>
      <c r="E40" s="25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row>
  </sheetData>
  <sheetProtection password="814D" sheet="1" objects="1" scenarios="1" selectLockedCells="1" selectUnlockedCells="1"/>
  <mergeCells count="114">
    <mergeCell ref="F38:AI38"/>
    <mergeCell ref="AC3:AF3"/>
    <mergeCell ref="AC4:AF4"/>
    <mergeCell ref="AC5:AF5"/>
    <mergeCell ref="AC6:AF6"/>
    <mergeCell ref="AG3:AI3"/>
    <mergeCell ref="AG4:AI4"/>
    <mergeCell ref="AG5:AI5"/>
    <mergeCell ref="D9:D12"/>
    <mergeCell ref="E9:E10"/>
    <mergeCell ref="F9:I12"/>
    <mergeCell ref="E11:E12"/>
    <mergeCell ref="AD9:AD12"/>
    <mergeCell ref="AE9:AE12"/>
    <mergeCell ref="D6:E6"/>
    <mergeCell ref="AG6:AI6"/>
    <mergeCell ref="F8:I8"/>
    <mergeCell ref="J8:M8"/>
    <mergeCell ref="N8:Q8"/>
    <mergeCell ref="R8:U8"/>
    <mergeCell ref="V8:Y8"/>
    <mergeCell ref="Z8:AC8"/>
    <mergeCell ref="AF9:AF12"/>
    <mergeCell ref="AG9:AG12"/>
    <mergeCell ref="AH9:AH12"/>
    <mergeCell ref="AI9:AI12"/>
    <mergeCell ref="K10:L11"/>
    <mergeCell ref="O10:P11"/>
    <mergeCell ref="S10:T11"/>
    <mergeCell ref="W10:X11"/>
    <mergeCell ref="AA10:AB11"/>
    <mergeCell ref="AG13:AG16"/>
    <mergeCell ref="AH13:AH16"/>
    <mergeCell ref="AI13:AI16"/>
    <mergeCell ref="AE13:AE16"/>
    <mergeCell ref="AF13:AF16"/>
    <mergeCell ref="G14:H15"/>
    <mergeCell ref="O14:P15"/>
    <mergeCell ref="S14:T15"/>
    <mergeCell ref="W14:X15"/>
    <mergeCell ref="AA14:AB15"/>
    <mergeCell ref="D13:D16"/>
    <mergeCell ref="E13:E14"/>
    <mergeCell ref="J13:M16"/>
    <mergeCell ref="AD13:AD16"/>
    <mergeCell ref="E15:E16"/>
    <mergeCell ref="AG17:AG20"/>
    <mergeCell ref="AH17:AH20"/>
    <mergeCell ref="AI17:AI20"/>
    <mergeCell ref="G18:H19"/>
    <mergeCell ref="K18:L19"/>
    <mergeCell ref="S18:T19"/>
    <mergeCell ref="W18:X19"/>
    <mergeCell ref="AA18:AB19"/>
    <mergeCell ref="D17:D20"/>
    <mergeCell ref="E17:E18"/>
    <mergeCell ref="N17:Q20"/>
    <mergeCell ref="AD17:AD20"/>
    <mergeCell ref="AE17:AE20"/>
    <mergeCell ref="AF17:AF20"/>
    <mergeCell ref="E19:E20"/>
    <mergeCell ref="AG21:AG24"/>
    <mergeCell ref="AH21:AH24"/>
    <mergeCell ref="AI21:AI24"/>
    <mergeCell ref="G22:H23"/>
    <mergeCell ref="K22:L23"/>
    <mergeCell ref="O22:P23"/>
    <mergeCell ref="W22:X23"/>
    <mergeCell ref="AA22:AB23"/>
    <mergeCell ref="D21:D24"/>
    <mergeCell ref="E21:E22"/>
    <mergeCell ref="R21:U24"/>
    <mergeCell ref="AD21:AD24"/>
    <mergeCell ref="AE21:AE24"/>
    <mergeCell ref="AF21:AF24"/>
    <mergeCell ref="E23:E24"/>
    <mergeCell ref="AH25:AH28"/>
    <mergeCell ref="AI25:AI28"/>
    <mergeCell ref="G26:H27"/>
    <mergeCell ref="K26:L27"/>
    <mergeCell ref="O26:P27"/>
    <mergeCell ref="S26:T27"/>
    <mergeCell ref="AA26:AB27"/>
    <mergeCell ref="D25:D28"/>
    <mergeCell ref="E25:E26"/>
    <mergeCell ref="V25:Y28"/>
    <mergeCell ref="AD25:AD28"/>
    <mergeCell ref="AE25:AE28"/>
    <mergeCell ref="AF25:AF28"/>
    <mergeCell ref="E27:E28"/>
    <mergeCell ref="D8:E8"/>
    <mergeCell ref="G30:H31"/>
    <mergeCell ref="K30:L31"/>
    <mergeCell ref="O30:P31"/>
    <mergeCell ref="S30:T31"/>
    <mergeCell ref="W30:X31"/>
    <mergeCell ref="E31:E32"/>
    <mergeCell ref="AD37:AI37"/>
    <mergeCell ref="D29:D32"/>
    <mergeCell ref="E29:E30"/>
    <mergeCell ref="Z29:AC32"/>
    <mergeCell ref="AD29:AD32"/>
    <mergeCell ref="AE29:AE32"/>
    <mergeCell ref="AF29:AF32"/>
    <mergeCell ref="AG29:AG32"/>
    <mergeCell ref="AH29:AH32"/>
    <mergeCell ref="AI29:AI32"/>
    <mergeCell ref="F35:G35"/>
    <mergeCell ref="I35:Y35"/>
    <mergeCell ref="F36:G36"/>
    <mergeCell ref="I36:Y36"/>
    <mergeCell ref="F37:G37"/>
    <mergeCell ref="I37:Y37"/>
    <mergeCell ref="AG25:AG28"/>
  </mergeCells>
  <printOptions horizontalCentered="1" verticalCentered="1"/>
  <pageMargins left="0.5118110236220472" right="0.5118110236220472" top="0.07874015748031496" bottom="0.6692913385826772" header="0.5118110236220472" footer="0.2362204724409449"/>
  <pageSetup fitToHeight="1" fitToWidth="1" horizontalDpi="600" verticalDpi="600" orientation="landscape" paperSize="9" r:id="rId2"/>
  <legacyDrawing r:id="rId1"/>
</worksheet>
</file>

<file path=xl/worksheets/sheet5.xml><?xml version="1.0" encoding="utf-8"?>
<worksheet xmlns="http://schemas.openxmlformats.org/spreadsheetml/2006/main" xmlns:r="http://schemas.openxmlformats.org/officeDocument/2006/relationships">
  <sheetPr codeName="Tabelle3"/>
  <dimension ref="B2:U50"/>
  <sheetViews>
    <sheetView showGridLines="0" showRowColHeaders="0" zoomScalePageLayoutView="0" workbookViewId="0" topLeftCell="A1">
      <selection activeCell="R11" sqref="R11"/>
    </sheetView>
  </sheetViews>
  <sheetFormatPr defaultColWidth="11.421875" defaultRowHeight="12.75" customHeight="1"/>
  <cols>
    <col min="1" max="1" width="1.7109375" style="451" customWidth="1"/>
    <col min="2" max="2" width="0.85546875" style="451" customWidth="1"/>
    <col min="3" max="3" width="1.7109375" style="451" customWidth="1"/>
    <col min="4" max="5" width="3.7109375" style="477" customWidth="1"/>
    <col min="6" max="6" width="72.7109375" style="451" customWidth="1"/>
    <col min="7" max="7" width="2.7109375" style="451" customWidth="1"/>
    <col min="8" max="8" width="0.85546875" style="451" customWidth="1"/>
    <col min="9" max="9" width="2.7109375" style="451" customWidth="1"/>
    <col min="10" max="10" width="0.85546875" style="451" customWidth="1"/>
    <col min="11" max="11" width="1.7109375" style="451" customWidth="1"/>
    <col min="12" max="13" width="3.7109375" style="451" customWidth="1"/>
    <col min="14" max="14" width="72.7109375" style="451" customWidth="1"/>
    <col min="15" max="15" width="2.7109375" style="451" customWidth="1"/>
    <col min="16" max="16" width="0.85546875" style="451" customWidth="1"/>
    <col min="17" max="16384" width="11.421875" style="451" customWidth="1"/>
  </cols>
  <sheetData>
    <row r="2" spans="2:21" ht="3.75" customHeight="1">
      <c r="B2" s="440"/>
      <c r="C2" s="441"/>
      <c r="D2" s="442"/>
      <c r="E2" s="442"/>
      <c r="F2" s="442"/>
      <c r="G2" s="443"/>
      <c r="H2" s="444"/>
      <c r="I2" s="445"/>
      <c r="J2" s="446"/>
      <c r="K2" s="447"/>
      <c r="L2" s="447"/>
      <c r="M2" s="448"/>
      <c r="N2" s="449"/>
      <c r="O2" s="443"/>
      <c r="P2" s="450"/>
      <c r="Q2" s="450"/>
      <c r="R2" s="450"/>
      <c r="S2" s="450"/>
      <c r="T2" s="450"/>
      <c r="U2" s="450"/>
    </row>
    <row r="3" spans="2:16" ht="12.75" customHeight="1">
      <c r="B3" s="452"/>
      <c r="C3" s="453"/>
      <c r="D3" s="908"/>
      <c r="E3" s="908"/>
      <c r="F3" s="908"/>
      <c r="G3" s="454"/>
      <c r="H3" s="455"/>
      <c r="I3" s="456"/>
      <c r="J3" s="457"/>
      <c r="K3" s="458"/>
      <c r="L3" s="458"/>
      <c r="M3" s="459"/>
      <c r="N3" s="459"/>
      <c r="O3" s="460"/>
      <c r="P3" s="461"/>
    </row>
    <row r="4" spans="2:16" ht="11.25" customHeight="1">
      <c r="B4" s="452"/>
      <c r="C4" s="453"/>
      <c r="D4" s="910" t="str">
        <f>translate!B79</f>
        <v>Art. 82 Classement des joueurs individuels et des équipes - (20.11.2011)</v>
      </c>
      <c r="E4" s="910"/>
      <c r="F4" s="910"/>
      <c r="G4" s="454"/>
      <c r="H4" s="455"/>
      <c r="I4" s="462"/>
      <c r="J4" s="463"/>
      <c r="K4" s="464"/>
      <c r="L4" s="464"/>
      <c r="M4" s="459"/>
      <c r="N4" s="909" t="str">
        <f>translate!B87</f>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O4" s="460"/>
      <c r="P4" s="461"/>
    </row>
    <row r="5" spans="2:16" ht="11.25" customHeight="1">
      <c r="B5" s="452"/>
      <c r="C5" s="453"/>
      <c r="D5" s="910"/>
      <c r="E5" s="910"/>
      <c r="F5" s="910"/>
      <c r="G5" s="454"/>
      <c r="H5" s="455"/>
      <c r="I5" s="465"/>
      <c r="J5" s="466"/>
      <c r="K5" s="467"/>
      <c r="L5" s="467"/>
      <c r="M5" s="459"/>
      <c r="N5" s="909"/>
      <c r="O5" s="460"/>
      <c r="P5" s="461"/>
    </row>
    <row r="6" spans="2:16" ht="11.25" customHeight="1">
      <c r="B6" s="452"/>
      <c r="C6" s="453"/>
      <c r="D6" s="458">
        <v>1</v>
      </c>
      <c r="E6" s="907" t="str">
        <f>translate!B80</f>
        <v>Classement des joueurs individuels qui ont joué les uns contre les autres à un tournoi : points de match, rencontre directe, moyenne générale, points de match des rencontres directes, moyenne particulière (meilleure seconde, etc., meilleure série, tirage au sort.</v>
      </c>
      <c r="F6" s="907"/>
      <c r="G6" s="454"/>
      <c r="H6" s="455"/>
      <c r="I6" s="465"/>
      <c r="J6" s="466"/>
      <c r="K6" s="467"/>
      <c r="L6" s="467"/>
      <c r="M6" s="458"/>
      <c r="N6" s="909"/>
      <c r="O6" s="468"/>
      <c r="P6" s="461"/>
    </row>
    <row r="7" spans="2:16" ht="11.25" customHeight="1">
      <c r="B7" s="452"/>
      <c r="C7" s="453"/>
      <c r="D7" s="458"/>
      <c r="E7" s="907"/>
      <c r="F7" s="907"/>
      <c r="G7" s="454"/>
      <c r="H7" s="455"/>
      <c r="I7" s="465"/>
      <c r="J7" s="466"/>
      <c r="K7" s="467"/>
      <c r="L7" s="467"/>
      <c r="M7" s="458"/>
      <c r="N7" s="909"/>
      <c r="O7" s="468"/>
      <c r="P7" s="461"/>
    </row>
    <row r="8" spans="2:16" ht="11.25" customHeight="1">
      <c r="B8" s="452"/>
      <c r="C8" s="453"/>
      <c r="D8" s="458"/>
      <c r="E8" s="907"/>
      <c r="F8" s="907"/>
      <c r="G8" s="454"/>
      <c r="H8" s="455"/>
      <c r="I8" s="465"/>
      <c r="J8" s="466"/>
      <c r="K8" s="467"/>
      <c r="L8" s="467"/>
      <c r="M8" s="458"/>
      <c r="N8" s="909"/>
      <c r="O8" s="469"/>
      <c r="P8" s="461"/>
    </row>
    <row r="9" spans="2:16" ht="11.25" customHeight="1">
      <c r="B9" s="452"/>
      <c r="C9" s="453"/>
      <c r="D9" s="458"/>
      <c r="E9" s="458"/>
      <c r="F9" s="458"/>
      <c r="G9" s="454"/>
      <c r="H9" s="455"/>
      <c r="I9" s="470"/>
      <c r="J9" s="457"/>
      <c r="K9" s="458"/>
      <c r="L9" s="458"/>
      <c r="M9" s="458"/>
      <c r="N9" s="909"/>
      <c r="O9" s="469"/>
      <c r="P9" s="461"/>
    </row>
    <row r="10" spans="2:16" ht="11.25" customHeight="1">
      <c r="B10" s="452"/>
      <c r="C10" s="453"/>
      <c r="D10" s="458">
        <v>2</v>
      </c>
      <c r="E10" s="907" t="str">
        <f>translate!B81</f>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F10" s="907"/>
      <c r="G10" s="454"/>
      <c r="H10" s="455"/>
      <c r="I10" s="456"/>
      <c r="J10" s="457"/>
      <c r="K10" s="458"/>
      <c r="L10" s="458"/>
      <c r="M10" s="458"/>
      <c r="N10" s="909"/>
      <c r="O10" s="468"/>
      <c r="P10" s="461"/>
    </row>
    <row r="11" spans="2:16" ht="11.25" customHeight="1">
      <c r="B11" s="452"/>
      <c r="C11" s="453"/>
      <c r="D11" s="458"/>
      <c r="E11" s="907"/>
      <c r="F11" s="907"/>
      <c r="G11" s="454"/>
      <c r="H11" s="455"/>
      <c r="I11" s="470"/>
      <c r="J11" s="457"/>
      <c r="K11" s="458"/>
      <c r="L11" s="458"/>
      <c r="M11" s="458"/>
      <c r="N11" s="909"/>
      <c r="O11" s="468"/>
      <c r="P11" s="461"/>
    </row>
    <row r="12" spans="2:16" ht="11.25" customHeight="1">
      <c r="B12" s="452"/>
      <c r="C12" s="453"/>
      <c r="D12" s="458"/>
      <c r="E12" s="907"/>
      <c r="F12" s="907"/>
      <c r="G12" s="454"/>
      <c r="H12" s="455"/>
      <c r="I12" s="470"/>
      <c r="J12" s="457"/>
      <c r="K12" s="458"/>
      <c r="L12" s="458"/>
      <c r="M12" s="458"/>
      <c r="N12" s="909"/>
      <c r="O12" s="468"/>
      <c r="P12" s="461"/>
    </row>
    <row r="13" spans="2:16" ht="11.25" customHeight="1">
      <c r="B13" s="452"/>
      <c r="C13" s="453"/>
      <c r="D13" s="458"/>
      <c r="E13" s="458"/>
      <c r="F13" s="458"/>
      <c r="G13" s="454"/>
      <c r="H13" s="455"/>
      <c r="I13" s="470"/>
      <c r="J13" s="457"/>
      <c r="K13" s="458"/>
      <c r="L13" s="458"/>
      <c r="M13" s="458"/>
      <c r="N13" s="909"/>
      <c r="O13" s="468"/>
      <c r="P13" s="461"/>
    </row>
    <row r="14" spans="2:16" ht="11.25" customHeight="1">
      <c r="B14" s="452"/>
      <c r="C14" s="453"/>
      <c r="D14" s="458">
        <v>3</v>
      </c>
      <c r="E14" s="907" t="str">
        <f>translate!B82</f>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F14" s="907"/>
      <c r="G14" s="454"/>
      <c r="H14" s="455"/>
      <c r="I14" s="470"/>
      <c r="J14" s="457"/>
      <c r="K14" s="458"/>
      <c r="L14" s="458"/>
      <c r="M14" s="458" t="s">
        <v>112</v>
      </c>
      <c r="N14" s="907" t="str">
        <f>translate!B88</f>
        <v>Si plus de trois joueurs sont à égalité, celui qui s'est imposé sur tous les autres est classé en tête. Si aucun des joueurs n'a battu tous les autres, on procède par élimination, en appliquant les dispositions ci-dessus.</v>
      </c>
      <c r="O14" s="468"/>
      <c r="P14" s="461"/>
    </row>
    <row r="15" spans="2:16" ht="11.25" customHeight="1">
      <c r="B15" s="452"/>
      <c r="C15" s="453"/>
      <c r="D15" s="458"/>
      <c r="E15" s="907"/>
      <c r="F15" s="907"/>
      <c r="G15" s="454"/>
      <c r="H15" s="455"/>
      <c r="I15" s="465"/>
      <c r="J15" s="466"/>
      <c r="K15" s="467"/>
      <c r="L15" s="467"/>
      <c r="M15" s="458"/>
      <c r="N15" s="907"/>
      <c r="O15" s="468"/>
      <c r="P15" s="461"/>
    </row>
    <row r="16" spans="2:16" ht="11.25" customHeight="1">
      <c r="B16" s="452"/>
      <c r="C16" s="453"/>
      <c r="D16" s="458"/>
      <c r="E16" s="907"/>
      <c r="F16" s="907"/>
      <c r="G16" s="454"/>
      <c r="H16" s="455"/>
      <c r="I16" s="465"/>
      <c r="J16" s="466"/>
      <c r="K16" s="467"/>
      <c r="L16" s="467"/>
      <c r="M16" s="458"/>
      <c r="N16" s="907"/>
      <c r="O16" s="468"/>
      <c r="P16" s="461"/>
    </row>
    <row r="17" spans="2:16" ht="11.25" customHeight="1">
      <c r="B17" s="452"/>
      <c r="C17" s="453"/>
      <c r="D17" s="458"/>
      <c r="E17" s="907"/>
      <c r="F17" s="907"/>
      <c r="G17" s="454"/>
      <c r="H17" s="455"/>
      <c r="I17" s="465"/>
      <c r="J17" s="466"/>
      <c r="K17" s="467"/>
      <c r="L17" s="467"/>
      <c r="M17" s="458"/>
      <c r="N17" s="458"/>
      <c r="O17" s="468"/>
      <c r="P17" s="461"/>
    </row>
    <row r="18" spans="2:16" ht="11.25" customHeight="1">
      <c r="B18" s="452"/>
      <c r="C18" s="453"/>
      <c r="D18" s="458"/>
      <c r="E18" s="907"/>
      <c r="F18" s="907"/>
      <c r="G18" s="454"/>
      <c r="H18" s="455"/>
      <c r="J18" s="452"/>
      <c r="K18" s="453"/>
      <c r="L18" s="453"/>
      <c r="M18" s="453" t="s">
        <v>114</v>
      </c>
      <c r="N18" s="907" t="str">
        <f>translate!B89</f>
        <v>Une fois le premier joueur désigné, selon points b) et c) ci-dessus, les autres joueurs sont ensuite départagés selon le point a) ci-dessus.</v>
      </c>
      <c r="O18" s="454"/>
      <c r="P18" s="461"/>
    </row>
    <row r="19" spans="2:16" ht="11.25" customHeight="1">
      <c r="B19" s="452"/>
      <c r="C19" s="453"/>
      <c r="D19" s="458"/>
      <c r="E19" s="907"/>
      <c r="F19" s="907"/>
      <c r="G19" s="454"/>
      <c r="H19" s="455"/>
      <c r="J19" s="452"/>
      <c r="K19" s="453"/>
      <c r="L19" s="453"/>
      <c r="M19" s="453"/>
      <c r="N19" s="907"/>
      <c r="O19" s="454"/>
      <c r="P19" s="461"/>
    </row>
    <row r="20" spans="2:16" ht="11.25" customHeight="1">
      <c r="B20" s="452"/>
      <c r="C20" s="453"/>
      <c r="D20" s="458"/>
      <c r="E20" s="907"/>
      <c r="F20" s="907"/>
      <c r="G20" s="454"/>
      <c r="H20" s="455"/>
      <c r="J20" s="452"/>
      <c r="K20" s="453"/>
      <c r="L20" s="453"/>
      <c r="M20" s="453"/>
      <c r="N20" s="467"/>
      <c r="O20" s="454"/>
      <c r="P20" s="461"/>
    </row>
    <row r="21" spans="2:16" ht="11.25" customHeight="1">
      <c r="B21" s="452"/>
      <c r="C21" s="453"/>
      <c r="D21" s="458"/>
      <c r="E21" s="458"/>
      <c r="F21" s="458"/>
      <c r="G21" s="454"/>
      <c r="H21" s="455"/>
      <c r="J21" s="452"/>
      <c r="K21" s="453"/>
      <c r="L21" s="453"/>
      <c r="M21" s="453" t="s">
        <v>116</v>
      </c>
      <c r="N21" s="907" t="str">
        <f>translate!B90</f>
        <v>S'il y a égalité de moyenne générale, on retiendra, dans l'ordre, la meilleure moyenne particulière, la deuxième si nécessaire, etc.</v>
      </c>
      <c r="O21" s="454"/>
      <c r="P21" s="461"/>
    </row>
    <row r="22" spans="2:16" ht="11.25" customHeight="1">
      <c r="B22" s="452"/>
      <c r="C22" s="453"/>
      <c r="D22" s="458">
        <v>4</v>
      </c>
      <c r="E22" s="907" t="str">
        <f>translate!B83</f>
        <v>A l'issue de la compétition les joueurs sont classés en fonction du nombre de points de match obtenus En cas d'égalité de points de match au classement final d'une compétition individuelle on procède comme suit : </v>
      </c>
      <c r="F22" s="907"/>
      <c r="G22" s="454"/>
      <c r="H22" s="455"/>
      <c r="J22" s="452"/>
      <c r="K22" s="453"/>
      <c r="L22" s="453"/>
      <c r="M22" s="453"/>
      <c r="N22" s="907"/>
      <c r="O22" s="454"/>
      <c r="P22" s="461"/>
    </row>
    <row r="23" spans="2:16" ht="11.25" customHeight="1">
      <c r="B23" s="452"/>
      <c r="C23" s="453"/>
      <c r="D23" s="458"/>
      <c r="E23" s="907"/>
      <c r="F23" s="907"/>
      <c r="G23" s="454"/>
      <c r="H23" s="455"/>
      <c r="J23" s="452"/>
      <c r="K23" s="453"/>
      <c r="L23" s="453"/>
      <c r="M23" s="453"/>
      <c r="N23" s="907"/>
      <c r="O23" s="454"/>
      <c r="P23" s="461"/>
    </row>
    <row r="24" spans="2:16" ht="11.25" customHeight="1">
      <c r="B24" s="452"/>
      <c r="C24" s="453"/>
      <c r="D24" s="458"/>
      <c r="E24" s="458"/>
      <c r="F24" s="458"/>
      <c r="G24" s="454"/>
      <c r="H24" s="455"/>
      <c r="J24" s="452"/>
      <c r="K24" s="453"/>
      <c r="L24" s="453"/>
      <c r="M24" s="453"/>
      <c r="N24" s="453"/>
      <c r="O24" s="454"/>
      <c r="P24" s="461"/>
    </row>
    <row r="25" spans="2:16" ht="11.25" customHeight="1">
      <c r="B25" s="452"/>
      <c r="C25" s="453"/>
      <c r="D25" s="471"/>
      <c r="E25" s="458" t="s">
        <v>110</v>
      </c>
      <c r="F25" s="907" t="str">
        <f>translate!B84</f>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G25" s="454"/>
      <c r="H25" s="455"/>
      <c r="J25" s="452"/>
      <c r="K25" s="453"/>
      <c r="L25" s="453"/>
      <c r="M25" s="453"/>
      <c r="N25" s="453"/>
      <c r="O25" s="454"/>
      <c r="P25" s="461"/>
    </row>
    <row r="26" spans="2:16" ht="11.25" customHeight="1">
      <c r="B26" s="452"/>
      <c r="C26" s="453"/>
      <c r="D26" s="458"/>
      <c r="E26" s="458"/>
      <c r="F26" s="907"/>
      <c r="G26" s="454"/>
      <c r="H26" s="455"/>
      <c r="J26" s="452"/>
      <c r="K26" s="453"/>
      <c r="L26" s="453"/>
      <c r="M26" s="453"/>
      <c r="N26" s="453"/>
      <c r="O26" s="454"/>
      <c r="P26" s="461"/>
    </row>
    <row r="27" spans="2:16" ht="11.25" customHeight="1">
      <c r="B27" s="452"/>
      <c r="C27" s="453"/>
      <c r="D27" s="458"/>
      <c r="E27" s="458"/>
      <c r="F27" s="907"/>
      <c r="G27" s="454"/>
      <c r="H27" s="455"/>
      <c r="J27" s="452"/>
      <c r="K27" s="453"/>
      <c r="L27" s="910" t="str">
        <f>translate!B91</f>
        <v>Art. 126 Répartition des joueurs sur les groupes éliminatoires et ordre de priorité des parties (30.06.2011)</v>
      </c>
      <c r="M27" s="910"/>
      <c r="N27" s="910"/>
      <c r="O27" s="454"/>
      <c r="P27" s="461"/>
    </row>
    <row r="28" spans="2:16" ht="11.25" customHeight="1">
      <c r="B28" s="452"/>
      <c r="C28" s="453"/>
      <c r="D28" s="458"/>
      <c r="E28" s="458"/>
      <c r="F28" s="907"/>
      <c r="G28" s="454"/>
      <c r="H28" s="455"/>
      <c r="J28" s="452"/>
      <c r="K28" s="453"/>
      <c r="L28" s="478"/>
      <c r="M28" s="478"/>
      <c r="N28" s="478"/>
      <c r="O28" s="454"/>
      <c r="P28" s="461"/>
    </row>
    <row r="29" spans="2:16" ht="11.25" customHeight="1">
      <c r="B29" s="452"/>
      <c r="C29" s="453"/>
      <c r="D29" s="458"/>
      <c r="E29" s="458"/>
      <c r="F29" s="907"/>
      <c r="G29" s="454"/>
      <c r="H29" s="455"/>
      <c r="J29" s="452"/>
      <c r="K29" s="453"/>
      <c r="L29" s="453">
        <v>3</v>
      </c>
      <c r="M29" s="453" t="s">
        <v>111</v>
      </c>
      <c r="N29" s="907" t="str">
        <f>translate!B92</f>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O29" s="454"/>
      <c r="P29" s="461"/>
    </row>
    <row r="30" spans="2:16" ht="11.25" customHeight="1">
      <c r="B30" s="452"/>
      <c r="C30" s="453"/>
      <c r="D30" s="458"/>
      <c r="E30" s="458"/>
      <c r="F30" s="907"/>
      <c r="G30" s="454"/>
      <c r="H30" s="455"/>
      <c r="J30" s="452"/>
      <c r="K30" s="453"/>
      <c r="L30" s="453"/>
      <c r="M30" s="453"/>
      <c r="N30" s="907"/>
      <c r="O30" s="454"/>
      <c r="P30" s="461"/>
    </row>
    <row r="31" spans="2:16" ht="11.25" customHeight="1">
      <c r="B31" s="452"/>
      <c r="C31" s="453"/>
      <c r="D31" s="458"/>
      <c r="E31" s="458"/>
      <c r="F31" s="909" t="str">
        <f>translate!B85</f>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G31" s="454"/>
      <c r="H31" s="455"/>
      <c r="J31" s="452"/>
      <c r="K31" s="453"/>
      <c r="L31" s="453"/>
      <c r="M31" s="453"/>
      <c r="N31" s="907"/>
      <c r="O31" s="454"/>
      <c r="P31" s="461"/>
    </row>
    <row r="32" spans="2:16" ht="11.25" customHeight="1">
      <c r="B32" s="452"/>
      <c r="C32" s="453"/>
      <c r="D32" s="458"/>
      <c r="E32" s="471"/>
      <c r="F32" s="909"/>
      <c r="G32" s="454"/>
      <c r="H32" s="455"/>
      <c r="J32" s="452"/>
      <c r="K32" s="453"/>
      <c r="L32" s="453"/>
      <c r="M32" s="453"/>
      <c r="N32" s="907"/>
      <c r="O32" s="454"/>
      <c r="P32" s="461"/>
    </row>
    <row r="33" spans="2:16" ht="11.25" customHeight="1">
      <c r="B33" s="452"/>
      <c r="C33" s="453"/>
      <c r="D33" s="458"/>
      <c r="E33" s="459"/>
      <c r="F33" s="909"/>
      <c r="G33" s="454"/>
      <c r="H33" s="455"/>
      <c r="J33" s="452"/>
      <c r="K33" s="453"/>
      <c r="L33" s="453"/>
      <c r="M33" s="453"/>
      <c r="N33" s="467"/>
      <c r="O33" s="454"/>
      <c r="P33" s="461"/>
    </row>
    <row r="34" spans="2:16" ht="11.25" customHeight="1">
      <c r="B34" s="452"/>
      <c r="C34" s="453"/>
      <c r="D34" s="458"/>
      <c r="E34" s="459"/>
      <c r="F34" s="909"/>
      <c r="G34" s="454"/>
      <c r="H34" s="455"/>
      <c r="J34" s="452"/>
      <c r="K34" s="453"/>
      <c r="L34" s="471"/>
      <c r="M34" s="471"/>
      <c r="N34" s="471"/>
      <c r="O34" s="454"/>
      <c r="P34" s="461"/>
    </row>
    <row r="35" spans="2:16" ht="11.25" customHeight="1">
      <c r="B35" s="452"/>
      <c r="C35" s="453"/>
      <c r="D35" s="458"/>
      <c r="E35" s="459"/>
      <c r="F35" s="909"/>
      <c r="G35" s="454"/>
      <c r="H35" s="455"/>
      <c r="J35" s="452"/>
      <c r="K35" s="453"/>
      <c r="L35" s="471"/>
      <c r="M35" s="471"/>
      <c r="N35" s="471"/>
      <c r="O35" s="454"/>
      <c r="P35" s="461"/>
    </row>
    <row r="36" spans="2:16" ht="11.25" customHeight="1">
      <c r="B36" s="452"/>
      <c r="C36" s="453"/>
      <c r="D36" s="458"/>
      <c r="E36" s="459"/>
      <c r="F36" s="909"/>
      <c r="G36" s="454"/>
      <c r="H36" s="455"/>
      <c r="J36" s="452"/>
      <c r="K36" s="453"/>
      <c r="L36" s="453"/>
      <c r="M36" s="453"/>
      <c r="N36" s="453"/>
      <c r="O36" s="454"/>
      <c r="P36" s="461"/>
    </row>
    <row r="37" spans="2:16" ht="11.25" customHeight="1">
      <c r="B37" s="452"/>
      <c r="C37" s="453"/>
      <c r="D37" s="471"/>
      <c r="E37" s="458" t="s">
        <v>111</v>
      </c>
      <c r="F37" s="907" t="str">
        <f>translate!B86</f>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G37" s="454"/>
      <c r="H37" s="455"/>
      <c r="J37" s="452"/>
      <c r="K37" s="453"/>
      <c r="L37" s="453"/>
      <c r="M37" s="453"/>
      <c r="N37" s="453"/>
      <c r="O37" s="454"/>
      <c r="P37" s="461"/>
    </row>
    <row r="38" spans="2:16" ht="11.25" customHeight="1">
      <c r="B38" s="452"/>
      <c r="C38" s="453"/>
      <c r="D38" s="458"/>
      <c r="E38" s="458"/>
      <c r="F38" s="907"/>
      <c r="G38" s="454"/>
      <c r="H38" s="455"/>
      <c r="J38" s="452"/>
      <c r="K38" s="453"/>
      <c r="L38" s="453"/>
      <c r="M38" s="453"/>
      <c r="N38" s="453"/>
      <c r="O38" s="454"/>
      <c r="P38" s="461"/>
    </row>
    <row r="39" spans="2:16" ht="11.25" customHeight="1">
      <c r="B39" s="452"/>
      <c r="C39" s="453"/>
      <c r="D39" s="458"/>
      <c r="E39" s="458"/>
      <c r="F39" s="907"/>
      <c r="G39" s="454"/>
      <c r="H39" s="455"/>
      <c r="J39" s="452"/>
      <c r="K39" s="453"/>
      <c r="L39" s="453"/>
      <c r="M39" s="453"/>
      <c r="N39" s="453"/>
      <c r="O39" s="454"/>
      <c r="P39" s="461"/>
    </row>
    <row r="40" spans="2:16" ht="11.25" customHeight="1">
      <c r="B40" s="452"/>
      <c r="C40" s="453"/>
      <c r="D40" s="458"/>
      <c r="E40" s="458"/>
      <c r="F40" s="907"/>
      <c r="G40" s="454"/>
      <c r="H40" s="455"/>
      <c r="J40" s="452"/>
      <c r="K40" s="453"/>
      <c r="L40" s="453"/>
      <c r="M40" s="453"/>
      <c r="N40" s="453"/>
      <c r="O40" s="454"/>
      <c r="P40" s="461"/>
    </row>
    <row r="41" spans="2:16" ht="11.25" customHeight="1">
      <c r="B41" s="452"/>
      <c r="C41" s="453"/>
      <c r="D41" s="458"/>
      <c r="E41" s="458"/>
      <c r="F41" s="907"/>
      <c r="G41" s="454"/>
      <c r="H41" s="455"/>
      <c r="J41" s="452"/>
      <c r="K41" s="453"/>
      <c r="L41" s="453"/>
      <c r="M41" s="453"/>
      <c r="N41" s="453"/>
      <c r="O41" s="454"/>
      <c r="P41" s="461"/>
    </row>
    <row r="42" spans="2:16" ht="11.25" customHeight="1">
      <c r="B42" s="452"/>
      <c r="C42" s="453"/>
      <c r="D42" s="458"/>
      <c r="E42" s="458"/>
      <c r="F42" s="907"/>
      <c r="G42" s="454"/>
      <c r="H42" s="455"/>
      <c r="J42" s="452"/>
      <c r="K42" s="453"/>
      <c r="L42" s="453"/>
      <c r="M42" s="453"/>
      <c r="N42" s="453"/>
      <c r="O42" s="454"/>
      <c r="P42" s="461"/>
    </row>
    <row r="43" spans="2:16" ht="11.25" customHeight="1">
      <c r="B43" s="452"/>
      <c r="C43" s="453"/>
      <c r="D43" s="458"/>
      <c r="E43" s="458"/>
      <c r="F43" s="907"/>
      <c r="G43" s="454"/>
      <c r="H43" s="455"/>
      <c r="J43" s="452"/>
      <c r="K43" s="453"/>
      <c r="L43" s="453"/>
      <c r="M43" s="453"/>
      <c r="N43" s="453"/>
      <c r="O43" s="454"/>
      <c r="P43" s="461"/>
    </row>
    <row r="44" spans="2:16" ht="11.25" customHeight="1">
      <c r="B44" s="452"/>
      <c r="C44" s="453"/>
      <c r="D44" s="458"/>
      <c r="E44" s="458"/>
      <c r="F44" s="907"/>
      <c r="G44" s="454"/>
      <c r="H44" s="455"/>
      <c r="J44" s="452"/>
      <c r="K44" s="453"/>
      <c r="L44" s="453"/>
      <c r="M44" s="453"/>
      <c r="N44" s="453"/>
      <c r="O44" s="454"/>
      <c r="P44" s="461"/>
    </row>
    <row r="45" spans="2:16" ht="11.25" customHeight="1">
      <c r="B45" s="452"/>
      <c r="C45" s="453"/>
      <c r="D45" s="458"/>
      <c r="E45" s="458"/>
      <c r="F45" s="907"/>
      <c r="G45" s="454"/>
      <c r="H45" s="455"/>
      <c r="J45" s="452"/>
      <c r="K45" s="453"/>
      <c r="L45" s="453"/>
      <c r="M45" s="453"/>
      <c r="N45" s="453"/>
      <c r="O45" s="454"/>
      <c r="P45" s="461"/>
    </row>
    <row r="46" spans="2:16" ht="11.25" customHeight="1">
      <c r="B46" s="452"/>
      <c r="C46" s="453"/>
      <c r="D46" s="458"/>
      <c r="E46" s="458"/>
      <c r="F46" s="907"/>
      <c r="G46" s="454"/>
      <c r="H46" s="455"/>
      <c r="J46" s="452"/>
      <c r="K46" s="453"/>
      <c r="L46" s="453"/>
      <c r="M46" s="453"/>
      <c r="N46" s="453"/>
      <c r="O46" s="454"/>
      <c r="P46" s="461"/>
    </row>
    <row r="47" spans="2:16" ht="11.25" customHeight="1">
      <c r="B47" s="452"/>
      <c r="C47" s="453"/>
      <c r="D47" s="458"/>
      <c r="E47" s="458"/>
      <c r="F47" s="907"/>
      <c r="G47" s="454"/>
      <c r="H47" s="455"/>
      <c r="J47" s="452"/>
      <c r="K47" s="453"/>
      <c r="L47" s="453"/>
      <c r="M47" s="453"/>
      <c r="N47" s="453"/>
      <c r="O47" s="454"/>
      <c r="P47" s="461"/>
    </row>
    <row r="48" spans="2:16" ht="11.25" customHeight="1">
      <c r="B48" s="452"/>
      <c r="C48" s="453"/>
      <c r="D48" s="458"/>
      <c r="E48" s="458"/>
      <c r="F48" s="907"/>
      <c r="G48" s="454"/>
      <c r="H48" s="455"/>
      <c r="J48" s="452"/>
      <c r="K48" s="453"/>
      <c r="L48" s="453"/>
      <c r="M48" s="453"/>
      <c r="N48" s="453"/>
      <c r="O48" s="454"/>
      <c r="P48" s="461"/>
    </row>
    <row r="49" spans="2:16" ht="12.75" customHeight="1">
      <c r="B49" s="472"/>
      <c r="C49" s="473"/>
      <c r="D49" s="474"/>
      <c r="E49" s="474"/>
      <c r="F49" s="473"/>
      <c r="G49" s="475"/>
      <c r="H49" s="455"/>
      <c r="J49" s="472"/>
      <c r="K49" s="473"/>
      <c r="L49" s="473"/>
      <c r="M49" s="473"/>
      <c r="N49" s="473"/>
      <c r="O49" s="475"/>
      <c r="P49" s="461"/>
    </row>
    <row r="50" spans="3:16" ht="3.75" customHeight="1">
      <c r="C50" s="461"/>
      <c r="D50" s="476"/>
      <c r="E50" s="476"/>
      <c r="F50" s="461"/>
      <c r="G50" s="461"/>
      <c r="H50" s="461"/>
      <c r="K50" s="461"/>
      <c r="L50" s="461"/>
      <c r="M50" s="461"/>
      <c r="N50" s="461"/>
      <c r="O50" s="461"/>
      <c r="P50" s="461"/>
    </row>
  </sheetData>
  <sheetProtection password="814D" sheet="1" objects="1" scenarios="1" selectLockedCells="1" selectUnlockedCells="1"/>
  <mergeCells count="15">
    <mergeCell ref="E14:F20"/>
    <mergeCell ref="N21:N23"/>
    <mergeCell ref="D3:F3"/>
    <mergeCell ref="F37:F48"/>
    <mergeCell ref="F31:F36"/>
    <mergeCell ref="E6:F8"/>
    <mergeCell ref="E10:F12"/>
    <mergeCell ref="E22:F23"/>
    <mergeCell ref="F25:F30"/>
    <mergeCell ref="D4:F5"/>
    <mergeCell ref="N4:N13"/>
    <mergeCell ref="N14:N16"/>
    <mergeCell ref="L27:N27"/>
    <mergeCell ref="N29:N32"/>
    <mergeCell ref="N18:N19"/>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CN60"/>
  <sheetViews>
    <sheetView zoomScalePageLayoutView="0" workbookViewId="0" topLeftCell="B1">
      <selection activeCell="N2" sqref="N2"/>
    </sheetView>
  </sheetViews>
  <sheetFormatPr defaultColWidth="11.57421875" defaultRowHeight="12.75"/>
  <cols>
    <col min="1" max="1" width="3.140625" style="0" customWidth="1"/>
    <col min="2" max="2" width="17.8515625" style="1" customWidth="1"/>
    <col min="3" max="5" width="5.28125" style="2" customWidth="1"/>
    <col min="6" max="6" width="5.28125" style="79" customWidth="1"/>
    <col min="7" max="10" width="5.28125" style="2" customWidth="1"/>
    <col min="11" max="11" width="5.28125" style="79" customWidth="1"/>
    <col min="12" max="15" width="5.28125" style="2" customWidth="1"/>
    <col min="16" max="16" width="5.28125" style="79" customWidth="1"/>
    <col min="17" max="20" width="5.28125" style="2" customWidth="1"/>
    <col min="21" max="21" width="5.28125" style="79" customWidth="1"/>
    <col min="22" max="25" width="5.28125" style="2" customWidth="1"/>
    <col min="26" max="26" width="5.28125" style="79" customWidth="1"/>
    <col min="27" max="27" width="5.28125" style="2" customWidth="1"/>
    <col min="28" max="30" width="2.28125" style="2" customWidth="1"/>
    <col min="31" max="31" width="2.28125" style="79" customWidth="1"/>
    <col min="32" max="35" width="2.28125" style="2" customWidth="1"/>
    <col min="36" max="36" width="2.28125" style="79" customWidth="1"/>
    <col min="37" max="37" width="2.28125" style="2" customWidth="1"/>
    <col min="38" max="38" width="5.421875" style="0" customWidth="1"/>
    <col min="39" max="39" width="7.28125" style="0" customWidth="1"/>
    <col min="40" max="41" width="5.421875" style="0" customWidth="1"/>
    <col min="42" max="42" width="5.421875" style="3" customWidth="1"/>
    <col min="43" max="44" width="5.421875" style="0" customWidth="1"/>
    <col min="45" max="45" width="5.28125" style="0" customWidth="1"/>
    <col min="46" max="47" width="5.7109375" style="0" customWidth="1"/>
    <col min="48" max="48" width="16.8515625" style="0" customWidth="1"/>
    <col min="49" max="57" width="5.421875" style="0" customWidth="1"/>
    <col min="58" max="73" width="11.421875" style="0" customWidth="1"/>
  </cols>
  <sheetData>
    <row r="1" spans="2:42" s="4" customFormat="1" ht="21" customHeight="1">
      <c r="B1" s="61" t="s">
        <v>95</v>
      </c>
      <c r="C1" s="4" t="s">
        <v>320</v>
      </c>
      <c r="F1" s="78"/>
      <c r="K1" s="78"/>
      <c r="P1" s="78"/>
      <c r="U1" s="78"/>
      <c r="Z1" s="78"/>
      <c r="AE1" s="78"/>
      <c r="AG1" s="5"/>
      <c r="AH1" s="5"/>
      <c r="AI1" s="5"/>
      <c r="AJ1" s="89"/>
      <c r="AK1" s="5"/>
      <c r="AM1" s="530"/>
      <c r="AP1" s="6"/>
    </row>
    <row r="2" spans="2:42" s="4" customFormat="1" ht="21" customHeight="1" thickBot="1">
      <c r="B2" s="61" t="s">
        <v>37</v>
      </c>
      <c r="F2" s="78"/>
      <c r="G2" s="4">
        <f>IF(OR(EXACT('Runden - Tours'!I6,"Dreiband"),EXACT('Runden - Tours'!I6,"3 bandes")),3,2)</f>
        <v>2</v>
      </c>
      <c r="K2" s="78"/>
      <c r="P2" s="78"/>
      <c r="U2" s="78"/>
      <c r="Z2" s="78"/>
      <c r="AE2" s="78"/>
      <c r="AG2" s="5"/>
      <c r="AH2" s="5"/>
      <c r="AI2" s="5"/>
      <c r="AJ2" s="89"/>
      <c r="AK2" s="5"/>
      <c r="AP2" s="6"/>
    </row>
    <row r="3" spans="38:46" ht="19.5" thickBot="1">
      <c r="AL3" s="7" t="s">
        <v>2</v>
      </c>
      <c r="AM3" s="8" t="s">
        <v>3</v>
      </c>
      <c r="AN3" s="8" t="s">
        <v>4</v>
      </c>
      <c r="AO3" s="9" t="s">
        <v>5</v>
      </c>
      <c r="AP3" s="8" t="s">
        <v>6</v>
      </c>
      <c r="AQ3" s="8" t="s">
        <v>7</v>
      </c>
      <c r="AR3" s="10" t="s">
        <v>8</v>
      </c>
      <c r="AT3" s="568" t="s">
        <v>255</v>
      </c>
    </row>
    <row r="4" spans="1:48" ht="16.5" customHeight="1" thickBot="1">
      <c r="A4" s="935">
        <v>1</v>
      </c>
      <c r="B4" s="11"/>
      <c r="C4" s="12" t="s">
        <v>9</v>
      </c>
      <c r="D4" s="13" t="s">
        <v>10</v>
      </c>
      <c r="E4" s="13" t="s">
        <v>4</v>
      </c>
      <c r="F4" s="80" t="s">
        <v>6</v>
      </c>
      <c r="G4" s="14" t="s">
        <v>2</v>
      </c>
      <c r="H4" s="68" t="s">
        <v>9</v>
      </c>
      <c r="I4" s="69" t="s">
        <v>10</v>
      </c>
      <c r="J4" s="69" t="s">
        <v>4</v>
      </c>
      <c r="K4" s="87" t="s">
        <v>6</v>
      </c>
      <c r="L4" s="71" t="s">
        <v>2</v>
      </c>
      <c r="M4" s="72" t="s">
        <v>9</v>
      </c>
      <c r="N4" s="70" t="s">
        <v>10</v>
      </c>
      <c r="O4" s="70" t="s">
        <v>4</v>
      </c>
      <c r="P4" s="87" t="s">
        <v>6</v>
      </c>
      <c r="Q4" s="71" t="s">
        <v>2</v>
      </c>
      <c r="R4" s="12" t="s">
        <v>9</v>
      </c>
      <c r="S4" s="13" t="s">
        <v>10</v>
      </c>
      <c r="T4" s="13" t="s">
        <v>4</v>
      </c>
      <c r="U4" s="80" t="s">
        <v>6</v>
      </c>
      <c r="V4" s="14" t="s">
        <v>2</v>
      </c>
      <c r="W4" s="12" t="s">
        <v>9</v>
      </c>
      <c r="X4" s="13" t="s">
        <v>10</v>
      </c>
      <c r="Y4" s="13" t="s">
        <v>4</v>
      </c>
      <c r="Z4" s="80" t="s">
        <v>6</v>
      </c>
      <c r="AA4" s="14" t="s">
        <v>2</v>
      </c>
      <c r="AB4" s="72" t="s">
        <v>9</v>
      </c>
      <c r="AC4" s="70" t="s">
        <v>10</v>
      </c>
      <c r="AD4" s="70" t="s">
        <v>4</v>
      </c>
      <c r="AE4" s="87" t="s">
        <v>6</v>
      </c>
      <c r="AF4" s="71" t="s">
        <v>2</v>
      </c>
      <c r="AG4" s="72" t="s">
        <v>9</v>
      </c>
      <c r="AH4" s="70" t="s">
        <v>10</v>
      </c>
      <c r="AI4" s="70" t="s">
        <v>4</v>
      </c>
      <c r="AJ4" s="87" t="s">
        <v>6</v>
      </c>
      <c r="AK4" s="71" t="s">
        <v>2</v>
      </c>
      <c r="AL4" s="15"/>
      <c r="AM4" s="16"/>
      <c r="AN4" s="16"/>
      <c r="AO4" s="17"/>
      <c r="AP4" s="17"/>
      <c r="AQ4" s="16"/>
      <c r="AR4" s="18"/>
      <c r="AU4" t="s">
        <v>36</v>
      </c>
      <c r="AV4" t="s">
        <v>254</v>
      </c>
    </row>
    <row r="5" spans="1:63" ht="16.5" customHeight="1">
      <c r="A5" s="935"/>
      <c r="B5" s="62">
        <f>T('Runden - Tours'!E17)</f>
      </c>
      <c r="C5" s="35">
        <f>IF(AND(ISNUMBER('Runden - Tours'!T43),F7=0),'Runden - Tours'!T43,"")</f>
      </c>
      <c r="D5" s="262">
        <f>IF(AND(ISNUMBER('Runden - Tours'!V43),F7=0),'Runden - Tours'!V43,"")</f>
      </c>
      <c r="E5" s="940">
        <f>IF(AND(ISNUMBER('Runden - Tours'!U43),F7=0),'Runden - Tours'!U43,"")</f>
      </c>
      <c r="F5" s="275">
        <f>IF(F7&gt;0,0,IF(AND(ISNUMBER(C5),ISNUMBER(E5)),IF(C5=0,0,ROUNDDOWN(C5/E5,$G$2)),""))</f>
      </c>
      <c r="G5" s="36">
        <f>IF(F7=2,0,IF(F7=1,2,IF(AND(ISNUMBER(C5),ISNUMBER(C6),ISNUMBER(E5)),IF(C5=C6,IF(E5=1,2.01,1),IF(C5&gt;C6,2,0)),"")))</f>
      </c>
      <c r="H5" s="35">
        <f>IF(AND(ISNUMBER('Runden - Tours'!T26),K7=0),'Runden - Tours'!T26,"")</f>
      </c>
      <c r="I5" s="262">
        <f>IF(AND(ISNUMBER('Runden - Tours'!V26),K7=0),'Runden - Tours'!V26,"")</f>
      </c>
      <c r="J5" s="940">
        <f>IF(AND(ISNUMBER('Runden - Tours'!U26),K7=0),'Runden - Tours'!U26,"")</f>
      </c>
      <c r="K5" s="275">
        <f>IF(K7&gt;0,0,IF(AND(ISNUMBER(H5),ISNUMBER(J5)),IF(H5=0,0,ROUNDDOWN(H5/J5,$G$2)),""))</f>
      </c>
      <c r="L5" s="36">
        <f>IF(K7=2,0,IF(K7=1,2,IF(AND(ISNUMBER(H5),ISNUMBER(H6),ISNUMBER(J5)),IF(H5=H6,IF(J5=1,2.01,1),IF(H5&gt;H6,2,0)),"")))</f>
      </c>
      <c r="M5" s="35">
        <f>IF(AND(ISNUMBER('Runden - Tours'!I40),$P$7=0),'Runden - Tours'!I40,"")</f>
      </c>
      <c r="N5" s="262">
        <f>IF(AND(ISNUMBER('Runden - Tours'!L40),$P$7=0),'Runden - Tours'!L40,"")</f>
      </c>
      <c r="O5" s="940">
        <f>IF(AND(ISNUMBER('Runden - Tours'!K40),$P$7=0),'Runden - Tours'!K40,"")</f>
      </c>
      <c r="P5" s="275">
        <f>IF(P7&gt;0,0,IF(AND(ISNUMBER(M5),ISNUMBER(O5)),IF(M5=0,0,ROUNDDOWN(M5/O5,$G$2)),""))</f>
      </c>
      <c r="Q5" s="36">
        <f>IF(P7=2,0,IF(P7=1,2,IF(AND(ISNUMBER(M5),ISNUMBER(M6),ISNUMBER(O5)),IF(M5=M6,IF(O5=1,2.01,1),IF(M5&gt;M6,2,0)),"")))</f>
      </c>
      <c r="R5" s="35">
        <f>IF(AND(ISNUMBER('Runden - Tours'!T21),$U$7=0),'Runden - Tours'!T21,"")</f>
      </c>
      <c r="S5" s="262">
        <f>IF(AND(ISNUMBER('Runden - Tours'!V21),$U$7=0),'Runden - Tours'!V21,"")</f>
      </c>
      <c r="T5" s="940">
        <f>IF(AND(ISNUMBER('Runden - Tours'!U21),$U$7=0),'Runden - Tours'!U21,"")</f>
      </c>
      <c r="U5" s="275">
        <f>IF(U7&gt;0,0,IF(AND(ISNUMBER(R5),ISNUMBER(T5)),IF(R5=0,0,ROUNDDOWN(R5/T5,$G$2)),""))</f>
      </c>
      <c r="V5" s="36">
        <f>IF(U7=2,0,IF(U7=1,2,IF(AND(ISNUMBER(R5),ISNUMBER(R6),ISNUMBER(T5)),IF(R5=R6,IF(T5=1,2.01,1),IF(R5&gt;R6,2,0)),"")))</f>
      </c>
      <c r="W5" s="277">
        <f>IF(AND(ISNUMBER('Runden - Tours'!I26),$Z$7=0),'Runden - Tours'!I26,"")</f>
      </c>
      <c r="X5" s="262">
        <f>IF(AND(ISNUMBER('Runden - Tours'!L26),$Z$7=0),'Runden - Tours'!L26,"")</f>
      </c>
      <c r="Y5" s="940">
        <f>IF(AND(ISNUMBER('Runden - Tours'!K26),$Z$7=0),'Runden - Tours'!K26,"")</f>
      </c>
      <c r="Z5" s="275">
        <f>IF(Z7&gt;0,0,IF(AND(ISNUMBER(W5),ISNUMBER(Y5)),IF(W5=0,0,ROUNDDOWN(W5/Y5,$G$2)),""))</f>
      </c>
      <c r="AA5" s="36">
        <f>IF(Z7=2,0,IF(Z7=1,2,IF(AND(ISNUMBER(W5),ISNUMBER(W6),ISNUMBER(Y5)),IF(W5=W6,IF(Y5=1,2.01,1),IF(W5&gt;W6,2,0)),"")))</f>
      </c>
      <c r="AB5" s="264"/>
      <c r="AC5" s="265"/>
      <c r="AD5" s="920"/>
      <c r="AE5" s="280">
        <f>IF(AND(ISNUMBER(AB5),ISNUMBER(AD5)),IF(AB5=0,0,ROUNDDOWN(AB5/AD5,$G$2)),"")</f>
      </c>
      <c r="AF5" s="266">
        <f>IF(AND(ISNUMBER(AB5),ISNUMBER(AB6),ISNUMBER(AD5)),IF(AB5=AB6,IF(AD5=1,2,1),IF(AB5&gt;AB6,2,0)),"")</f>
      </c>
      <c r="AG5" s="264"/>
      <c r="AH5" s="265"/>
      <c r="AI5" s="920"/>
      <c r="AJ5" s="275">
        <f>IF(AND(ISNUMBER(AG5),ISNUMBER(AI5)),IF(AG5=0,0,ROUNDDOWN(AG5/AI5,$G$2)),"")</f>
      </c>
      <c r="AK5" s="36">
        <f>IF(AND(ISNUMBER(AG5),ISNUMBER(AG6),ISNUMBER(AI5)),IF(AG5=AG6,IF(AI5=1,2,1),IF(AG5&gt;AG6,2,0)),"")</f>
      </c>
      <c r="AL5" s="20">
        <f>IF(ISNUMBER(G5),G5,0)+IF(ISNUMBER(L5),L5,0)+IF(ISNUMBER(Q5),Q5,0)+IF(ISNUMBER(V5),V5,0)+IF(ISNUMBER(AA5),AA5,0)+IF(ISNUMBER(AF5),AF5,0)+IF(ISNUMBER(AK5),AK5,0)</f>
        <v>0</v>
      </c>
      <c r="AM5" s="67">
        <f>IF(ISNUMBER(C5),C5,0)+IF(ISNUMBER(H5),H5,0)+IF(ISNUMBER(M5),M5,0)+IF(ISNUMBER(R5),R5,0)+IF(ISNUMBER(W5),W5,0)</f>
        <v>0</v>
      </c>
      <c r="AN5" s="21">
        <f>IF(ISNUMBER(E5),E5,0)+IF(ISNUMBER(J5),J5,0)+IF(ISNUMBER(O5),O5,0)+IF(ISNUMBER(T5),T5,0)+IF(ISNUMBER(Y5),Y5,0)</f>
        <v>0</v>
      </c>
      <c r="AO5" s="75">
        <f>ROUNDDOWN(IF($AM5=0,0,$AM5/$AN5),$G$2)</f>
        <v>0</v>
      </c>
      <c r="AP5" s="75">
        <f>rangs!$CA$6</f>
        <v>0</v>
      </c>
      <c r="AQ5" s="21">
        <f>MAX(D5,I5,N5,S5,X5,AC5,AH5)</f>
        <v>0</v>
      </c>
      <c r="AR5" s="22">
        <f>rangs!S5</f>
        <v>1</v>
      </c>
      <c r="AS5" s="717">
        <f>rangs!S5</f>
        <v>1</v>
      </c>
      <c r="AT5" s="516">
        <f>AR5+A4/10</f>
        <v>1.1</v>
      </c>
      <c r="AU5" s="517">
        <f>AR5</f>
        <v>1</v>
      </c>
      <c r="AV5" s="517">
        <f>B5</f>
      </c>
      <c r="AW5" s="517">
        <f>ROUNDDOWN(AL5,0)</f>
        <v>0</v>
      </c>
      <c r="AX5" s="517">
        <f>AM5</f>
        <v>0</v>
      </c>
      <c r="AY5" s="517">
        <f>AN5</f>
        <v>0</v>
      </c>
      <c r="AZ5" s="526" t="str">
        <f>Tableau!AG9</f>
        <v>0.00</v>
      </c>
      <c r="BA5" s="526" t="str">
        <f>Tableau!AH9</f>
        <v>- - -</v>
      </c>
      <c r="BB5" s="518">
        <f>AQ5</f>
        <v>0</v>
      </c>
      <c r="BE5" s="516">
        <f>AT5</f>
        <v>1.1</v>
      </c>
      <c r="BF5" s="517">
        <f>AU5</f>
        <v>1</v>
      </c>
      <c r="BG5" s="517">
        <f>AV5</f>
      </c>
      <c r="BH5" s="517">
        <f>rangs!BR4</f>
      </c>
      <c r="BI5" s="518" t="str">
        <f>IF(BF5=1,BK$5,IF(BF5=2,BK$6,IF(BF5=3,BK$7,IF(BF5=4,BK$8,IF(BF5=5,BK$9,IF(BF5=6,BK$10,""))))))</f>
        <v>1er</v>
      </c>
      <c r="BK5" t="str">
        <f>translate!B116</f>
        <v>1er</v>
      </c>
    </row>
    <row r="6" spans="1:63" ht="16.5" customHeight="1" thickBot="1">
      <c r="A6" s="935"/>
      <c r="B6" s="19">
        <f>T('Runden - Tours'!H17)</f>
      </c>
      <c r="C6" s="39">
        <f>IF(AND(ISNUMBER('Runden - Tours'!T44),F7=0),'Runden - Tours'!T44,"")</f>
      </c>
      <c r="D6" s="263">
        <f>IF(AND(ISNUMBER('Runden - Tours'!V44),F7=0),'Runden - Tours'!V44,"")</f>
      </c>
      <c r="E6" s="941"/>
      <c r="F6" s="276">
        <f>IF(F7&gt;0,0,IF(AND(ISNUMBER(C6),ISNUMBER(E5)),IF(C6=0,0,ROUNDDOWN(C6/E5,$G$2)),""))</f>
      </c>
      <c r="G6" s="40">
        <f>IF(F7=1,0,IF(F7=2,2,IF(AND(ISNUMBER(C5),ISNUMBER(C6),ISNUMBER(E5)),IF(C6=C5,IF(E5=1,2.01,1),IF(C6&gt;C5,2,0)),"")))</f>
      </c>
      <c r="H6" s="39">
        <f>IF(AND(ISNUMBER('Runden - Tours'!T27),K7=0),'Runden - Tours'!T27,"")</f>
      </c>
      <c r="I6" s="263">
        <f>IF(AND(ISNUMBER('Runden - Tours'!V27),K7=0),'Runden - Tours'!V27,"")</f>
      </c>
      <c r="J6" s="941"/>
      <c r="K6" s="276">
        <f>IF(K7&gt;0,0,IF(AND(ISNUMBER(H6),ISNUMBER(J5)),IF(H6=0,0,ROUNDDOWN(H6/J5,$G$2)),""))</f>
      </c>
      <c r="L6" s="40">
        <f>IF(K7=1,0,IF(K7=2,2,IF(AND(ISNUMBER(H5),ISNUMBER(H6),ISNUMBER(J5)),IF(H6=H5,IF(J5=1,2.01,1),IF(H6&gt;H5,2,0)),"")))</f>
      </c>
      <c r="M6" s="39">
        <f>IF(AND(ISNUMBER('Runden - Tours'!I41),$P$7=0),'Runden - Tours'!I41,"")</f>
      </c>
      <c r="N6" s="263">
        <f>IF(AND(ISNUMBER('Runden - Tours'!L41),$P$7=0),'Runden - Tours'!L41,"")</f>
      </c>
      <c r="O6" s="941"/>
      <c r="P6" s="276">
        <f>IF(P7&gt;0,0,IF(AND(ISNUMBER(M6),ISNUMBER(O5)),IF(M6=0,0,ROUNDDOWN(M6/O5,$G$2)),""))</f>
      </c>
      <c r="Q6" s="40">
        <f>IF(P7=1,0,IF(P7=2,2,IF(AND(ISNUMBER(M5),ISNUMBER(M6),ISNUMBER(O5)),IF(M6=M5,IF(O5=1,2.01,1),IF(M6&gt;M5,2,0)),"")))</f>
      </c>
      <c r="R6" s="39">
        <f>IF(AND(ISNUMBER('Runden - Tours'!T22),$U$7=0),'Runden - Tours'!T22,"")</f>
      </c>
      <c r="S6" s="263">
        <f>IF(AND(ISNUMBER('Runden - Tours'!V22),$U$7=0),'Runden - Tours'!V22,"")</f>
      </c>
      <c r="T6" s="941"/>
      <c r="U6" s="276">
        <f>IF(U7&gt;0,0,IF(AND(ISNUMBER(R6),ISNUMBER(T5)),IF(R6=0,0,ROUNDDOWN(R6/T5,$G$2)),""))</f>
      </c>
      <c r="V6" s="40">
        <f>IF(U7=1,0,IF(U7=2,2,IF(AND(ISNUMBER(R5),ISNUMBER(R6),ISNUMBER(T5)),IF(R6=R5,IF(T5=1,2.01,1),IF(R6&gt;R5,2,0)),"")))</f>
      </c>
      <c r="W6" s="39">
        <f>IF(AND(ISNUMBER('Runden - Tours'!I27),$Z$7=0),'Runden - Tours'!I27,"")</f>
      </c>
      <c r="X6" s="263">
        <f>IF(AND(ISNUMBER('Runden - Tours'!L27),$Z$7=0),'Runden - Tours'!L27,"")</f>
      </c>
      <c r="Y6" s="941"/>
      <c r="Z6" s="276">
        <f>IF(Z7&gt;0,0,IF(AND(ISNUMBER(W6),ISNUMBER(Y5)),IF(W6=0,0,ROUNDDOWN(W6/Y5,$G$2)),""))</f>
      </c>
      <c r="AA6" s="40">
        <f>IF(Z7=1,0,IF(Z7=2,2,IF(AND(ISNUMBER(W5),ISNUMBER(W6),ISNUMBER(Y5)),IF(W6=W5,IF(Y5=1,2.01,1),IF(W6&gt;W5,2,0)),"")))</f>
      </c>
      <c r="AB6" s="268"/>
      <c r="AC6" s="269"/>
      <c r="AD6" s="921"/>
      <c r="AE6" s="281">
        <f>IF(AND(ISNUMBER(AB6),ISNUMBER(AD5)),IF(AB6=0,0,ROUNDDOWN(AB6/AD5,$G$2)),"")</f>
      </c>
      <c r="AF6" s="270">
        <f>IF(AND(ISNUMBER(AB5),ISNUMBER(AB6),ISNUMBER(AD5)),IF(AB6=AB5,IF(AD5=1,2,1),IF(AB6&gt;AB5,2,0)),"")</f>
      </c>
      <c r="AG6" s="268"/>
      <c r="AH6" s="269"/>
      <c r="AI6" s="921"/>
      <c r="AJ6" s="276">
        <f>IF(AND(ISNUMBER(AG6),ISNUMBER(AI5)),IF(AG6=0,0,ROUNDDOWN(AG6/AI5,$G$2)),"")</f>
      </c>
      <c r="AK6" s="40">
        <f>IF(AND(ISNUMBER(AG5),ISNUMBER(AG6),ISNUMBER(AI5)),IF(AG6=AG5,IF(AI5=1,2,1),IF(AG6&gt;AG5,2,0)),"")</f>
      </c>
      <c r="AL6" s="20"/>
      <c r="AM6" s="21"/>
      <c r="AN6" s="21"/>
      <c r="AO6" s="75"/>
      <c r="AP6" s="75"/>
      <c r="AQ6" s="21"/>
      <c r="AR6" s="22"/>
      <c r="AS6" s="718"/>
      <c r="AT6" s="519">
        <f>AR9+A8/10</f>
        <v>1.2</v>
      </c>
      <c r="AU6" s="520">
        <f>AR9</f>
        <v>1</v>
      </c>
      <c r="AV6" s="520">
        <f>B9</f>
      </c>
      <c r="AW6" s="520">
        <f>ROUNDDOWN(AL9,0)</f>
        <v>0</v>
      </c>
      <c r="AX6" s="520">
        <f>AM9</f>
        <v>0</v>
      </c>
      <c r="AY6" s="520">
        <f>AN9</f>
        <v>0</v>
      </c>
      <c r="AZ6" s="527" t="str">
        <f>Tableau!AG13</f>
        <v>0.00</v>
      </c>
      <c r="BA6" s="527" t="str">
        <f>Tableau!AH13</f>
        <v>- - -</v>
      </c>
      <c r="BB6" s="521">
        <f>AQ9</f>
        <v>0</v>
      </c>
      <c r="BE6" s="519">
        <f>AT6</f>
        <v>1.2</v>
      </c>
      <c r="BF6" s="520">
        <f>AU6</f>
        <v>1</v>
      </c>
      <c r="BG6" s="520">
        <f>AV6</f>
      </c>
      <c r="BH6" s="520">
        <f>rangs!BR5</f>
      </c>
      <c r="BI6" s="521" t="str">
        <f>IF(BF6=1,BK$5,IF(BF6=2,BK$6,IF(BF6=3,BK$7,IF(BF6=4,BK$8,IF(BF6=5,BK$9,IF(BF6=6,BK$10,""))))))</f>
        <v>1er</v>
      </c>
      <c r="BK6" t="str">
        <f>translate!B117</f>
        <v>2ème</v>
      </c>
    </row>
    <row r="7" spans="1:63" ht="16.5" customHeight="1" thickBot="1">
      <c r="A7" s="935"/>
      <c r="B7" s="24"/>
      <c r="C7" s="932">
        <f>T(B9)</f>
      </c>
      <c r="D7" s="933"/>
      <c r="E7" s="933"/>
      <c r="F7" s="930">
        <f>IF('Runden - Tours'!$R$43="Forfait",2,IF('Runden - Tours'!$R$44="Forfait",1,0))</f>
        <v>0</v>
      </c>
      <c r="G7" s="931"/>
      <c r="H7" s="943">
        <f>T(B13)</f>
      </c>
      <c r="I7" s="944"/>
      <c r="J7" s="944"/>
      <c r="K7" s="930">
        <f>IF('Runden - Tours'!$R$26="Forfait",2,IF('Runden - Tours'!$R$27="Forfait",1,0))</f>
        <v>0</v>
      </c>
      <c r="L7" s="931"/>
      <c r="M7" s="932">
        <f>T(B17)</f>
      </c>
      <c r="N7" s="933"/>
      <c r="O7" s="933"/>
      <c r="P7" s="930">
        <f>IF('Runden - Tours'!$F$40="Forfait",2,IF('Runden - Tours'!$F$41="Forfait",1,0))</f>
        <v>0</v>
      </c>
      <c r="Q7" s="931"/>
      <c r="R7" s="932">
        <f>T(B21)</f>
      </c>
      <c r="S7" s="933"/>
      <c r="T7" s="933"/>
      <c r="U7" s="930">
        <f>IF('Runden - Tours'!$R$21="Forfait",2,IF('Runden - Tours'!$R$22="Forfait",1,0))</f>
        <v>0</v>
      </c>
      <c r="V7" s="931"/>
      <c r="W7" s="932">
        <f>T(B25)</f>
      </c>
      <c r="X7" s="933"/>
      <c r="Y7" s="933"/>
      <c r="Z7" s="930">
        <f>IF('Runden - Tours'!$F$26="Forfait",2,IF('Runden - Tours'!$F$27="Forfait",1,0))</f>
        <v>0</v>
      </c>
      <c r="AA7" s="931"/>
      <c r="AB7" s="932">
        <f>T(B29)</f>
      </c>
      <c r="AC7" s="933"/>
      <c r="AD7" s="933"/>
      <c r="AE7" s="930"/>
      <c r="AF7" s="931"/>
      <c r="AG7" s="932">
        <f>T(B33)</f>
      </c>
      <c r="AH7" s="933"/>
      <c r="AI7" s="933"/>
      <c r="AJ7" s="930"/>
      <c r="AK7" s="931"/>
      <c r="AL7" s="25"/>
      <c r="AM7" s="26"/>
      <c r="AN7" s="26"/>
      <c r="AO7" s="76"/>
      <c r="AP7" s="76"/>
      <c r="AQ7" s="26"/>
      <c r="AR7" s="27"/>
      <c r="AS7" s="718"/>
      <c r="AT7" s="522">
        <f>AR13+A12/10</f>
        <v>1.3</v>
      </c>
      <c r="AU7" s="520">
        <f>AR13</f>
        <v>1</v>
      </c>
      <c r="AV7" s="520">
        <f>B13</f>
      </c>
      <c r="AW7" s="520">
        <f>ROUNDDOWN(AL13,0)</f>
        <v>0</v>
      </c>
      <c r="AX7" s="520">
        <f>AM13</f>
        <v>0</v>
      </c>
      <c r="AY7" s="520">
        <f>AN13</f>
        <v>0</v>
      </c>
      <c r="AZ7" s="527" t="str">
        <f>Tableau!AG17</f>
        <v>0.00</v>
      </c>
      <c r="BA7" s="527" t="str">
        <f>Tableau!AH17</f>
        <v>- - -</v>
      </c>
      <c r="BB7" s="521">
        <f>AQ13</f>
        <v>0</v>
      </c>
      <c r="BE7" s="519">
        <f>AT7</f>
        <v>1.3</v>
      </c>
      <c r="BF7" s="520">
        <f>AU7</f>
        <v>1</v>
      </c>
      <c r="BG7" s="520">
        <f>AV7</f>
      </c>
      <c r="BH7" s="520">
        <f>rangs!BR6</f>
      </c>
      <c r="BI7" s="521" t="str">
        <f>IF(BF7=1,BK$5,IF(BF7=2,BK$6,IF(BF7=3,BK$7,IF(BF7=4,BK$8,IF(BF7=5,BK$9,IF(BF7=6,BK$10,""))))))</f>
        <v>1er</v>
      </c>
      <c r="BK7" t="str">
        <f>translate!B118</f>
        <v>3ème</v>
      </c>
    </row>
    <row r="8" spans="1:63" ht="16.5" customHeight="1" thickBot="1">
      <c r="A8" s="935">
        <v>2</v>
      </c>
      <c r="B8" s="11"/>
      <c r="C8" s="72" t="s">
        <v>9</v>
      </c>
      <c r="D8" s="70" t="s">
        <v>10</v>
      </c>
      <c r="E8" s="70" t="s">
        <v>4</v>
      </c>
      <c r="F8" s="87" t="s">
        <v>6</v>
      </c>
      <c r="G8" s="71" t="s">
        <v>2</v>
      </c>
      <c r="H8" s="72" t="s">
        <v>9</v>
      </c>
      <c r="I8" s="70" t="s">
        <v>10</v>
      </c>
      <c r="J8" s="70" t="s">
        <v>4</v>
      </c>
      <c r="K8" s="87" t="s">
        <v>6</v>
      </c>
      <c r="L8" s="71" t="s">
        <v>2</v>
      </c>
      <c r="M8" s="72" t="s">
        <v>9</v>
      </c>
      <c r="N8" s="70" t="s">
        <v>10</v>
      </c>
      <c r="O8" s="70" t="s">
        <v>4</v>
      </c>
      <c r="P8" s="87" t="s">
        <v>6</v>
      </c>
      <c r="Q8" s="71" t="s">
        <v>2</v>
      </c>
      <c r="R8" s="72" t="s">
        <v>9</v>
      </c>
      <c r="S8" s="70" t="s">
        <v>10</v>
      </c>
      <c r="T8" s="70" t="s">
        <v>4</v>
      </c>
      <c r="U8" s="87" t="s">
        <v>6</v>
      </c>
      <c r="V8" s="71" t="s">
        <v>2</v>
      </c>
      <c r="W8" s="72" t="s">
        <v>9</v>
      </c>
      <c r="X8" s="70" t="s">
        <v>10</v>
      </c>
      <c r="Y8" s="70" t="s">
        <v>4</v>
      </c>
      <c r="Z8" s="87" t="s">
        <v>6</v>
      </c>
      <c r="AA8" s="71" t="s">
        <v>2</v>
      </c>
      <c r="AB8" s="72" t="s">
        <v>9</v>
      </c>
      <c r="AC8" s="70" t="s">
        <v>10</v>
      </c>
      <c r="AD8" s="70" t="s">
        <v>4</v>
      </c>
      <c r="AE8" s="87" t="s">
        <v>6</v>
      </c>
      <c r="AF8" s="71" t="s">
        <v>2</v>
      </c>
      <c r="AG8" s="28"/>
      <c r="AH8" s="29"/>
      <c r="AI8" s="30"/>
      <c r="AJ8" s="81"/>
      <c r="AK8" s="31"/>
      <c r="AL8" s="32"/>
      <c r="AM8" s="33"/>
      <c r="AN8" s="33"/>
      <c r="AO8" s="77"/>
      <c r="AP8" s="77"/>
      <c r="AQ8" s="33"/>
      <c r="AR8" s="34"/>
      <c r="AS8" s="718"/>
      <c r="AT8" s="519">
        <f>AR17+A16/10</f>
        <v>1.4</v>
      </c>
      <c r="AU8" s="520">
        <f>AR17</f>
        <v>1</v>
      </c>
      <c r="AV8" s="520">
        <f>B17</f>
      </c>
      <c r="AW8" s="520">
        <f>ROUNDDOWN(AL17,0)</f>
        <v>0</v>
      </c>
      <c r="AX8" s="520">
        <f>AM17</f>
        <v>0</v>
      </c>
      <c r="AY8" s="520">
        <f>AN17</f>
        <v>0</v>
      </c>
      <c r="AZ8" s="527" t="str">
        <f>Tableau!AG21</f>
        <v>0.00</v>
      </c>
      <c r="BA8" s="527" t="str">
        <f>Tableau!AH21</f>
        <v>- - -</v>
      </c>
      <c r="BB8" s="521">
        <f>AQ17</f>
        <v>0</v>
      </c>
      <c r="BE8" s="519">
        <f>AT8</f>
        <v>1.4</v>
      </c>
      <c r="BF8" s="520">
        <f>AU8</f>
        <v>1</v>
      </c>
      <c r="BG8" s="520">
        <f>AV8</f>
      </c>
      <c r="BH8" s="520">
        <f>rangs!BR7</f>
      </c>
      <c r="BI8" s="521" t="str">
        <f>IF(BF8=1,BK$5,IF(BF8=2,BK$6,IF(BF8=3,BK$7,IF(BF8=4,BK$8,IF(BF8=5,BK$9,IF(BF8=6,BK$10,""))))))</f>
        <v>1er</v>
      </c>
      <c r="BK8" t="str">
        <f>translate!B119</f>
        <v>4ème</v>
      </c>
    </row>
    <row r="9" spans="1:63" ht="16.5" customHeight="1">
      <c r="A9" s="935"/>
      <c r="B9" s="19">
        <f>T('Runden - Tours'!E18)</f>
      </c>
      <c r="C9" s="35">
        <f>IF(AND(ISNUMBER('Runden - Tours'!T18),$F$11=0),'Runden - Tours'!T18,"")</f>
      </c>
      <c r="D9" s="262">
        <f>IF(AND(ISNUMBER('Runden - Tours'!V18),$F$11=0),'Runden - Tours'!V18,"")</f>
      </c>
      <c r="E9" s="940">
        <f>IF(AND(ISNUMBER('Runden - Tours'!U18),$F$11=0),'Runden - Tours'!U18,"")</f>
      </c>
      <c r="F9" s="275">
        <f>IF(F11&gt;0,0,IF(AND(ISNUMBER(C9),ISNUMBER(E9)),IF(C9=0,0,ROUNDDOWN(C9/E9,$G$2)),""))</f>
      </c>
      <c r="G9" s="36">
        <f>IF(F11=2,0,IF(F11=1,2,IF(AND(ISNUMBER(C9),ISNUMBER(C10),ISNUMBER(E9)),IF(C9=C10,IF(E9=1,2.01,1),IF(C9&gt;C10,2,0)),"")))</f>
      </c>
      <c r="H9" s="35">
        <f>IF(AND(ISNUMBER('Runden - Tours'!I32),$K$11=0),'Runden - Tours'!I32,"")</f>
      </c>
      <c r="I9" s="262">
        <f>IF(AND(ISNUMBER('Runden - Tours'!L32),$K$11=0),'Runden - Tours'!L32,"")</f>
      </c>
      <c r="J9" s="940">
        <f>IF(AND(ISNUMBER('Runden - Tours'!K32),$K$11=0),'Runden - Tours'!K32,"")</f>
      </c>
      <c r="K9" s="275">
        <f>IF(K11&gt;0,0,IF(AND(ISNUMBER(H9),ISNUMBER(J9)),IF(H9=0,0,ROUNDDOWN(H9/J9,$G$2)),""))</f>
      </c>
      <c r="L9" s="36">
        <f>IF(K11=2,0,IF(K11=1,2,IF(AND(ISNUMBER(H9),ISNUMBER(H10),ISNUMBER(J9)),IF(H9=H10,IF(J9=1,2.01,1),IF(H9&gt;H10,2,0)),"")))</f>
      </c>
      <c r="M9" s="35">
        <f>IF(AND(ISNUMBER('Runden - Tours'!I37),$P$11=0),'Runden - Tours'!I37,"")</f>
      </c>
      <c r="N9" s="262">
        <f>IF(AND(ISNUMBER('Runden - Tours'!L37),$P$11=0),'Runden - Tours'!L37,"")</f>
      </c>
      <c r="O9" s="940">
        <f>IF(AND(ISNUMBER('Runden - Tours'!K37),$P$11=0),'Runden - Tours'!K37,"")</f>
      </c>
      <c r="P9" s="275">
        <f>IF(P11&gt;0,0,IF(AND(ISNUMBER(M9),ISNUMBER(O9)),IF(M9=0,0,ROUNDDOWN(M9/O9,$G$2)),""))</f>
      </c>
      <c r="Q9" s="36">
        <f>IF(P11=2,0,IF(P11=1,2,IF(AND(ISNUMBER(M9),ISNUMBER(M10),ISNUMBER(O9)),IF(M9=M10,IF(O9=1,2.01,1),IF(M9&gt;M10,2,0)),"")))</f>
      </c>
      <c r="R9" s="35">
        <f>IF(AND(ISNUMBER('Runden - Tours'!T29),$U$11=0),'Runden - Tours'!T29,"")</f>
      </c>
      <c r="S9" s="262">
        <f>IF(AND(ISNUMBER('Runden - Tours'!V29),$U$11=0),'Runden - Tours'!V29,"")</f>
      </c>
      <c r="T9" s="940">
        <f>IF(AND(ISNUMBER('Runden - Tours'!U29),$U$11=0),'Runden - Tours'!U29,"")</f>
      </c>
      <c r="U9" s="275">
        <f>IF(U11&gt;0,0,IF(AND(ISNUMBER(R9),ISNUMBER(T9)),IF(R9=0,0,ROUNDDOWN(R9/T9,$G$2)),""))</f>
      </c>
      <c r="V9" s="36">
        <f>IF(U11=2,0,IF(U11=1,2,IF(AND(ISNUMBER(R9),ISNUMBER(R10),ISNUMBER(T9)),IF(R9=R10,IF(T9=1,2.01,1),IF(R9&gt;R10,2,0)),"")))</f>
      </c>
      <c r="W9" s="264"/>
      <c r="X9" s="265"/>
      <c r="Y9" s="920"/>
      <c r="Z9" s="280">
        <f>IF(AND(ISNUMBER(W9),ISNUMBER(Y9)),IF(W9=0,0,ROUNDDOWN(W9/Y9,$G$2)),"")</f>
      </c>
      <c r="AA9" s="266">
        <f>IF(AND(ISNUMBER(W9),ISNUMBER(W10),ISNUMBER(Y9)),IF(W9=W10,IF(Y9=1,2,1),IF(W9&gt;W10,2,0)),"")</f>
      </c>
      <c r="AB9" s="264"/>
      <c r="AC9" s="265"/>
      <c r="AD9" s="920"/>
      <c r="AE9" s="275">
        <f>IF(AND(ISNUMBER(AB9),ISNUMBER(AD9)),IF(AB9=0,0,ROUNDDOWN(AB9/AD9,$G$2)),"")</f>
      </c>
      <c r="AF9" s="36">
        <f>IF(AND(ISNUMBER(AB9),ISNUMBER(AB10),ISNUMBER(AD9)),IF(AB9=AB10,IF(AD9=1,2,1),IF(AB9&gt;AB10,2,0)),"")</f>
      </c>
      <c r="AG9" s="37"/>
      <c r="AH9" s="38"/>
      <c r="AI9" s="926"/>
      <c r="AJ9" s="82"/>
      <c r="AK9" s="38"/>
      <c r="AL9" s="20">
        <f>IF(ISNUMBER(G9),G9,0)+IF(ISNUMBER(L9),L9,0)+IF(ISNUMBER(Q9),Q9,0)+IF(ISNUMBER(V9),V9,0)+IF(ISNUMBER(AA9),AA9,0)+IF(ISNUMBER(AF9),AF9,0)+IF(ISNUMBER(G6),G6,0)</f>
        <v>0</v>
      </c>
      <c r="AM9" s="67">
        <f>IF(ISNUMBER(C9),C9,0)+IF(ISNUMBER(H9),H9,0)+IF(ISNUMBER(M9),M9,0)+IF(ISNUMBER(R9),R9,0)+IF(ISNUMBER(C6),C6,0)</f>
        <v>0</v>
      </c>
      <c r="AN9" s="21">
        <f>IF(ISNUMBER(E9),E9,0)+IF(ISNUMBER(J9),J9,0)+IF(ISNUMBER(O9),O9,0)+IF(ISNUMBER(T9),T9,0)+IF(ISNUMBER(Y9),Y9,0)+IF(ISNUMBER(AD9),AD9,0)+IF(ISNUMBER(E5),E5,0)</f>
        <v>0</v>
      </c>
      <c r="AO9" s="75">
        <f>ROUNDDOWN(IF($AM9=0,0,$AM9/$AN9),$G$2)</f>
        <v>0</v>
      </c>
      <c r="AP9" s="75">
        <f>rangs!$CA$7</f>
        <v>0</v>
      </c>
      <c r="AQ9" s="21">
        <f>MAX(D9,I9,N9,S9,X9,AC9,D6)</f>
        <v>0</v>
      </c>
      <c r="AR9" s="483">
        <f>rangs!S6</f>
        <v>1</v>
      </c>
      <c r="AS9" s="719">
        <f>rangs!S6</f>
        <v>1</v>
      </c>
      <c r="AT9" s="519">
        <f>AR21+A20/10</f>
        <v>1.5</v>
      </c>
      <c r="AU9" s="520">
        <f>AR21</f>
        <v>1</v>
      </c>
      <c r="AV9" s="520">
        <f>B21</f>
      </c>
      <c r="AW9" s="520">
        <f>ROUNDDOWN(AL21,0)</f>
        <v>0</v>
      </c>
      <c r="AX9" s="520">
        <f>AM21</f>
        <v>0</v>
      </c>
      <c r="AY9" s="520">
        <f>AN21</f>
        <v>0</v>
      </c>
      <c r="AZ9" s="527" t="str">
        <f>Tableau!AG25</f>
        <v>0.00</v>
      </c>
      <c r="BA9" s="527" t="str">
        <f>Tableau!AH25</f>
        <v>- - -</v>
      </c>
      <c r="BB9" s="521">
        <f>AQ21</f>
        <v>0</v>
      </c>
      <c r="BE9" s="519">
        <f>AT9</f>
        <v>1.5</v>
      </c>
      <c r="BF9" s="520">
        <f>AU9</f>
        <v>1</v>
      </c>
      <c r="BG9" s="520">
        <f>AV9</f>
      </c>
      <c r="BH9" s="520">
        <f>rangs!BR8</f>
      </c>
      <c r="BI9" s="521" t="str">
        <f>IF(BF9=1,BK$5,IF(BF9=2,BK$6,IF(BF9=3,BK$7,IF(BF9=4,BK$8,IF(BF9=5,BK$9,IF(BF9=6,BK$10,""))))))</f>
        <v>1er</v>
      </c>
      <c r="BK9" t="str">
        <f>translate!B120</f>
        <v>5ème</v>
      </c>
    </row>
    <row r="10" spans="1:63" ht="16.5" customHeight="1" thickBot="1">
      <c r="A10" s="935"/>
      <c r="B10" s="19">
        <f>T('Runden - Tours'!H18)</f>
      </c>
      <c r="C10" s="39">
        <f>IF(AND(ISNUMBER('Runden - Tours'!T19),$F$11=0),'Runden - Tours'!T19,"")</f>
      </c>
      <c r="D10" s="263">
        <f>IF(AND(ISNUMBER('Runden - Tours'!V19),$F$11=0),'Runden - Tours'!V19,"")</f>
      </c>
      <c r="E10" s="941"/>
      <c r="F10" s="276">
        <f>IF(F11&gt;0,0,IF(AND(ISNUMBER(C10),ISNUMBER(E9)),IF(C10=0,0,ROUNDDOWN(C10/E9,$G$2)),""))</f>
      </c>
      <c r="G10" s="40">
        <f>IF(F11=1,0,IF(F11=2,2,IF(AND(ISNUMBER(C9),ISNUMBER(C10),ISNUMBER(E9)),IF(C10=C9,IF(E9=1,2.01,1),IF(C10&gt;C9,2,0)),"")))</f>
      </c>
      <c r="H10" s="39">
        <f>IF(AND(ISNUMBER('Runden - Tours'!I33),$K$11=0),'Runden - Tours'!I33,"")</f>
      </c>
      <c r="I10" s="263">
        <f>IF(AND(ISNUMBER('Runden - Tours'!L33),$K$11=0),'Runden - Tours'!L33,"")</f>
      </c>
      <c r="J10" s="941"/>
      <c r="K10" s="276">
        <f>IF(K11&gt;0,0,IF(AND(ISNUMBER(H10),ISNUMBER(J9)),IF(H10=0,0,ROUNDDOWN(H10/J9,$G$2)),""))</f>
      </c>
      <c r="L10" s="40">
        <f>IF(K11=1,0,IF(K11=2,2,IF(AND(ISNUMBER(H9),ISNUMBER(H10),ISNUMBER(J9)),IF(H10=H9,IF(J9=1,2.01,1),IF(H10&gt;H9,2,0)),"")))</f>
      </c>
      <c r="M10" s="39">
        <f>IF(AND(ISNUMBER('Runden - Tours'!I38),$P$11=0),'Runden - Tours'!I38,"")</f>
      </c>
      <c r="N10" s="263">
        <f>IF(AND(ISNUMBER('Runden - Tours'!L38),$P$11=0),'Runden - Tours'!L38,"")</f>
      </c>
      <c r="O10" s="941"/>
      <c r="P10" s="276">
        <f>IF(P11&gt;0,0,IF(AND(ISNUMBER(M10),ISNUMBER(O9)),IF(M10=0,0,ROUNDDOWN(M10/O9,$G$2)),""))</f>
      </c>
      <c r="Q10" s="40">
        <f>IF(P11=1,0,IF(P11=2,2,IF(AND(ISNUMBER(M9),ISNUMBER(M10),ISNUMBER(O9)),IF(M10=M9,IF(O9=1,2.01,1),IF(M10&gt;M9,2,0)),"")))</f>
      </c>
      <c r="R10" s="39">
        <f>IF(AND(ISNUMBER('Runden - Tours'!T30),$U$11=0),'Runden - Tours'!T30,"")</f>
      </c>
      <c r="S10" s="263">
        <f>IF(AND(ISNUMBER('Runden - Tours'!V30),$U$11=0),'Runden - Tours'!V30,"")</f>
      </c>
      <c r="T10" s="941"/>
      <c r="U10" s="276">
        <f>IF(U11&gt;0,0,IF(AND(ISNUMBER(R10),ISNUMBER(T9)),IF(R10=0,0,ROUNDDOWN(R10/T9,$G$2)),""))</f>
      </c>
      <c r="V10" s="40">
        <f>IF(U11=1,0,IF(U11=2,2,IF(AND(ISNUMBER(R9),ISNUMBER(R10),ISNUMBER(T9)),IF(R10=R9,IF(T9=1,2.01,1),IF(R10&gt;R9,2,0)),"")))</f>
      </c>
      <c r="W10" s="268"/>
      <c r="X10" s="269"/>
      <c r="Y10" s="921"/>
      <c r="Z10" s="281">
        <f>IF(AND(ISNUMBER(W10),ISNUMBER(Y9)),IF(W10=0,0,ROUNDDOWN(W10/Y9,$G$2)),"")</f>
      </c>
      <c r="AA10" s="270">
        <f>IF(AND(ISNUMBER(W9),ISNUMBER(W10),ISNUMBER(Y9)),IF(W10=W9,IF(Y9=1,2,1),IF(W10&gt;W9,2,0)),"")</f>
      </c>
      <c r="AB10" s="268"/>
      <c r="AC10" s="269"/>
      <c r="AD10" s="921"/>
      <c r="AE10" s="276">
        <f>IF(AND(ISNUMBER(AB10),ISNUMBER(AD9)),IF(AB10=0,0,ROUNDDOWN(AB10/AD9,$G$2)),"")</f>
      </c>
      <c r="AF10" s="40">
        <f>IF(AND(ISNUMBER(AB9),ISNUMBER(AB10),ISNUMBER(AD9)),IF(AB10=AB9,IF(AD9=1,2,1),IF(AB10&gt;AB9,2,0)),"")</f>
      </c>
      <c r="AG10" s="37"/>
      <c r="AH10" s="38"/>
      <c r="AI10" s="926"/>
      <c r="AJ10" s="82"/>
      <c r="AK10" s="38"/>
      <c r="AL10" s="20"/>
      <c r="AM10" s="21"/>
      <c r="AN10" s="21"/>
      <c r="AO10" s="75"/>
      <c r="AP10" s="75"/>
      <c r="AQ10" s="21"/>
      <c r="AR10" s="22"/>
      <c r="AS10" s="718"/>
      <c r="AT10" s="523">
        <f>AR25+A24/10</f>
        <v>1.6</v>
      </c>
      <c r="AU10" s="524">
        <f>AR25</f>
        <v>1</v>
      </c>
      <c r="AV10" s="524">
        <f>B25</f>
      </c>
      <c r="AW10" s="524">
        <f>ROUNDDOWN(AL25,0)</f>
        <v>0</v>
      </c>
      <c r="AX10" s="524">
        <f>AM25</f>
        <v>0</v>
      </c>
      <c r="AY10" s="524">
        <f>AN25</f>
        <v>0</v>
      </c>
      <c r="AZ10" s="528" t="str">
        <f>Tableau!AG29</f>
        <v>0.00</v>
      </c>
      <c r="BA10" s="528" t="str">
        <f>Tableau!AH29</f>
        <v>- - -</v>
      </c>
      <c r="BB10" s="525">
        <f>AQ25</f>
        <v>0</v>
      </c>
      <c r="BE10" s="523">
        <f>AT10</f>
        <v>1.6</v>
      </c>
      <c r="BF10" s="524">
        <f>AU10</f>
        <v>1</v>
      </c>
      <c r="BG10" s="524">
        <f>AV10</f>
      </c>
      <c r="BH10" s="524">
        <f>rangs!BR9</f>
      </c>
      <c r="BI10" s="525" t="str">
        <f>IF(BF10=1,BK$5,IF(BF10=2,BK$6,IF(BF10=3,BK$7,IF(BF10=4,BK$8,IF(BF10=5,BK$9,IF(BF10=6,BK$10,""))))))</f>
        <v>1er</v>
      </c>
      <c r="BK10" t="str">
        <f>translate!B121</f>
        <v>6ème</v>
      </c>
    </row>
    <row r="11" spans="1:61" ht="16.5" customHeight="1" thickBot="1">
      <c r="A11" s="935"/>
      <c r="B11" s="41"/>
      <c r="C11" s="932">
        <f>T(B13)</f>
      </c>
      <c r="D11" s="933"/>
      <c r="E11" s="933"/>
      <c r="F11" s="930">
        <f>IF('Runden - Tours'!$R$18="Forfait",2,IF('Runden - Tours'!$R$19="Forfait",1,0))</f>
        <v>0</v>
      </c>
      <c r="G11" s="931"/>
      <c r="H11" s="932">
        <f>T(B17)</f>
      </c>
      <c r="I11" s="933"/>
      <c r="J11" s="933"/>
      <c r="K11" s="930">
        <f>IF('Runden - Tours'!$F$32="Forfait",2,IF('Runden - Tours'!$F$33="Forfait",1,0))</f>
        <v>0</v>
      </c>
      <c r="L11" s="931"/>
      <c r="M11" s="932">
        <f>T(B21)</f>
      </c>
      <c r="N11" s="933"/>
      <c r="O11" s="933"/>
      <c r="P11" s="930">
        <f>IF('Runden - Tours'!$F$37="Forfait",2,IF('Runden - Tours'!$F$38="Forfait",1,0))</f>
        <v>0</v>
      </c>
      <c r="Q11" s="931"/>
      <c r="R11" s="932">
        <f>T(B25)</f>
      </c>
      <c r="S11" s="933"/>
      <c r="T11" s="933"/>
      <c r="U11" s="930">
        <f>IF('Runden - Tours'!$R$29="Forfait",2,IF('Runden - Tours'!$R$30="Forfait",1,0))</f>
        <v>0</v>
      </c>
      <c r="V11" s="931"/>
      <c r="W11" s="932">
        <f>T(B29)</f>
      </c>
      <c r="X11" s="933"/>
      <c r="Y11" s="933"/>
      <c r="Z11" s="930"/>
      <c r="AA11" s="931"/>
      <c r="AB11" s="932">
        <f>T(B33)</f>
      </c>
      <c r="AC11" s="933"/>
      <c r="AD11" s="933"/>
      <c r="AE11" s="930"/>
      <c r="AF11" s="931"/>
      <c r="AG11" s="42"/>
      <c r="AH11" s="43"/>
      <c r="AI11" s="43"/>
      <c r="AJ11" s="90"/>
      <c r="AK11" s="43"/>
      <c r="AL11" s="25"/>
      <c r="AM11" s="26"/>
      <c r="AN11" s="26"/>
      <c r="AO11" s="76"/>
      <c r="AP11" s="76"/>
      <c r="AQ11" s="26"/>
      <c r="AR11" s="27"/>
      <c r="AS11" s="718"/>
      <c r="AT11" s="74" t="s">
        <v>256</v>
      </c>
      <c r="AU11" s="74"/>
      <c r="AV11" s="74"/>
      <c r="AW11" s="74"/>
      <c r="AX11" s="74"/>
      <c r="AY11" s="74"/>
      <c r="AZ11" s="74"/>
      <c r="BA11" s="74"/>
      <c r="BB11" s="74"/>
      <c r="BC11" s="74"/>
      <c r="BD11" s="74"/>
      <c r="BE11" s="74"/>
      <c r="BF11" s="74"/>
      <c r="BG11" s="74"/>
      <c r="BH11" s="74"/>
      <c r="BI11" s="74"/>
    </row>
    <row r="12" spans="1:61" ht="16.5" customHeight="1" thickBot="1">
      <c r="A12" s="935">
        <v>3</v>
      </c>
      <c r="B12" s="24"/>
      <c r="C12" s="72" t="s">
        <v>9</v>
      </c>
      <c r="D12" s="70" t="s">
        <v>10</v>
      </c>
      <c r="E12" s="70" t="s">
        <v>4</v>
      </c>
      <c r="F12" s="87" t="s">
        <v>6</v>
      </c>
      <c r="G12" s="71" t="s">
        <v>2</v>
      </c>
      <c r="H12" s="72" t="s">
        <v>9</v>
      </c>
      <c r="I12" s="70" t="s">
        <v>10</v>
      </c>
      <c r="J12" s="70" t="s">
        <v>4</v>
      </c>
      <c r="K12" s="87" t="s">
        <v>6</v>
      </c>
      <c r="L12" s="71" t="s">
        <v>2</v>
      </c>
      <c r="M12" s="72" t="s">
        <v>9</v>
      </c>
      <c r="N12" s="70" t="s">
        <v>10</v>
      </c>
      <c r="O12" s="70" t="s">
        <v>4</v>
      </c>
      <c r="P12" s="87" t="s">
        <v>6</v>
      </c>
      <c r="Q12" s="71" t="s">
        <v>2</v>
      </c>
      <c r="R12" s="72" t="s">
        <v>9</v>
      </c>
      <c r="S12" s="70" t="s">
        <v>10</v>
      </c>
      <c r="T12" s="70" t="s">
        <v>4</v>
      </c>
      <c r="U12" s="87" t="s">
        <v>6</v>
      </c>
      <c r="V12" s="71" t="s">
        <v>2</v>
      </c>
      <c r="W12" s="72" t="s">
        <v>9</v>
      </c>
      <c r="X12" s="70" t="s">
        <v>10</v>
      </c>
      <c r="Y12" s="70" t="s">
        <v>4</v>
      </c>
      <c r="Z12" s="87" t="s">
        <v>6</v>
      </c>
      <c r="AA12" s="71" t="s">
        <v>2</v>
      </c>
      <c r="AB12" s="44"/>
      <c r="AC12" s="30"/>
      <c r="AD12" s="30"/>
      <c r="AE12" s="81"/>
      <c r="AF12" s="30"/>
      <c r="AG12" s="30"/>
      <c r="AH12" s="30"/>
      <c r="AI12" s="30"/>
      <c r="AJ12" s="81"/>
      <c r="AK12" s="30"/>
      <c r="AL12" s="32"/>
      <c r="AM12" s="33"/>
      <c r="AN12" s="33"/>
      <c r="AO12" s="77"/>
      <c r="AP12" s="77"/>
      <c r="AQ12" s="33"/>
      <c r="AR12" s="34"/>
      <c r="AS12" s="718"/>
      <c r="AT12" s="74"/>
      <c r="AU12" s="74"/>
      <c r="AV12" s="74"/>
      <c r="AW12" s="74"/>
      <c r="AX12" s="74"/>
      <c r="AY12" s="74"/>
      <c r="AZ12" s="74"/>
      <c r="BA12" s="74"/>
      <c r="BB12" s="74"/>
      <c r="BC12" s="74"/>
      <c r="BD12" s="74"/>
      <c r="BE12" s="73">
        <f>VLOOKUP(SMALL($BE$5:$BE$10,1),$BE$5:$BI$10,2,0)</f>
        <v>1</v>
      </c>
      <c r="BF12" s="73">
        <f>VLOOKUP(SMALL($BE$5:$BE$10,1),$BE$5:$BI$10,3,0)</f>
      </c>
      <c r="BG12" s="73">
        <f>VLOOKUP(SMALL($BE$5:$BE$10,1),$BE$5:$BI$10,4,0)</f>
      </c>
      <c r="BH12" s="73" t="str">
        <f>VLOOKUP(SMALL($BE$5:$BE$10,1),$BE$5:$BI$10,5,0)</f>
        <v>1er</v>
      </c>
      <c r="BI12" s="74">
        <f>IF(BG12=0,BF12&amp;BF$19&amp;BH12&amp;BF$20,IF(BG12=1,BF12&amp;BF$19&amp;BH12&amp;BF$21,IF(BG12=2,BF12&amp;BF$19&amp;BH12&amp;BF$22,IF(BG12=3,BF12&amp;BF$19&amp;BH12&amp;BF$23,IF(BG12=4,BF12&amp;BF$19&amp;BH12&amp;BF$24,IF(BG12=5,BF12&amp;BF$19&amp;BH12&amp;BF$25,IF(BG12=6,BF12&amp;BF$19&amp;BH12&amp;BF$26,IF(BG12=7,BF12&amp;BF$19&amp;BH12&amp;BF$27,""))))))))</f>
      </c>
    </row>
    <row r="13" spans="1:61" ht="16.5" customHeight="1">
      <c r="A13" s="935"/>
      <c r="B13" s="19">
        <f>T('Runden - Tours'!E19)</f>
      </c>
      <c r="C13" s="35">
        <f>IF(AND(ISNUMBER('Runden - Tours'!T37),$F$15=0),'Runden - Tours'!T37,"")</f>
      </c>
      <c r="D13" s="262">
        <f>IF(AND(ISNUMBER('Runden - Tours'!V37),$F$15=0),'Runden - Tours'!V37,"")</f>
      </c>
      <c r="E13" s="940">
        <f>IF(AND(ISNUMBER('Runden - Tours'!U37),$F$15=0),'Runden - Tours'!U37,"")</f>
      </c>
      <c r="F13" s="275">
        <f>IF(F15&gt;0,0,IF(AND(ISNUMBER(C13),ISNUMBER(E13)),IF(C13=0,0,ROUNDDOWN(C13/E13,$G$2)),""))</f>
      </c>
      <c r="G13" s="36">
        <f>IF(F15=2,0,IF(F15=1,2,IF(AND(ISNUMBER(C13),ISNUMBER(C14),ISNUMBER(E13)),IF(C13=C14,IF(E13=1,2.01,1),IF(C13&gt;C14,2,0)),"")))</f>
      </c>
      <c r="H13" s="35">
        <f>IF(AND(ISNUMBER('Runden - Tours'!I29),$K$15=0),'Runden - Tours'!I29,"")</f>
      </c>
      <c r="I13" s="262">
        <f>IF(AND(ISNUMBER('Runden - Tours'!L29),$K$15=0),'Runden - Tours'!L29,"")</f>
      </c>
      <c r="J13" s="940">
        <f>IF(AND(ISNUMBER('Runden - Tours'!K29),$K$15=0),'Runden - Tours'!K29,"")</f>
      </c>
      <c r="K13" s="275">
        <f>IF(K15&gt;0,0,IF(AND(ISNUMBER(H13),ISNUMBER(J13)),IF(H13=0,0,ROUNDDOWN(H13/J13,$G$2)),""))</f>
      </c>
      <c r="L13" s="36">
        <f>IF(K15=2,0,IF(K15=1,2,IF(AND(ISNUMBER(H13),ISNUMBER(H14),ISNUMBER(J13)),IF(H13=H14,IF(J13=1,2.01,1),IF(H13&gt;H14,2,0)),"")))</f>
      </c>
      <c r="M13" s="35">
        <f>IF(AND(ISNUMBER('Runden - Tours'!I43),$P$15=0),'Runden - Tours'!I43,"")</f>
      </c>
      <c r="N13" s="262">
        <f>IF(AND(ISNUMBER('Runden - Tours'!L43),$P$15=0),'Runden - Tours'!L43,"")</f>
      </c>
      <c r="O13" s="940">
        <f>IF(AND(ISNUMBER('Runden - Tours'!K43),$P$15=0),'Runden - Tours'!K43,"")</f>
      </c>
      <c r="P13" s="275">
        <f>IF(P15&gt;0,0,IF(AND(ISNUMBER(M13),ISNUMBER(O13)),IF(M13=0,0,ROUNDDOWN(M13/O13,$G$2)),""))</f>
      </c>
      <c r="Q13" s="36">
        <f>IF(P15=2,0,IF(P15=1,2,IF(AND(ISNUMBER(M13),ISNUMBER(M14),ISNUMBER(O13)),IF(M13=M14,IF(O13=1,2.01,1),IF(M13&gt;M14,2,0)),"")))</f>
      </c>
      <c r="R13" s="264"/>
      <c r="S13" s="265"/>
      <c r="T13" s="920"/>
      <c r="U13" s="280">
        <f>IF(AND(ISNUMBER(R13),ISNUMBER(T13)),IF(R13=0,0,ROUNDDOWN(R13/T13,$G$2)),"")</f>
      </c>
      <c r="V13" s="266">
        <f>IF(AND(ISNUMBER(R13),ISNUMBER(R14),ISNUMBER(T13)),IF(R13=R14,IF(T13=1,2,1),IF(R13&gt;R14,2,0)),"")</f>
      </c>
      <c r="W13" s="264"/>
      <c r="X13" s="265"/>
      <c r="Y13" s="920"/>
      <c r="Z13" s="275">
        <f>IF(AND(ISNUMBER(W13),ISNUMBER(Y13)),IF(W13=0,0,ROUNDDOWN(W13/Y13,$G$2)),"")</f>
      </c>
      <c r="AA13" s="36">
        <f>IF(AND(ISNUMBER(W13),ISNUMBER(W14),ISNUMBER(Y13)),IF(W13=W14,IF(Y13=1,2,1),IF(W13&gt;W14,2,0)),"")</f>
      </c>
      <c r="AB13" s="272"/>
      <c r="AC13" s="273"/>
      <c r="AD13" s="927"/>
      <c r="AE13" s="82"/>
      <c r="AF13" s="38"/>
      <c r="AG13" s="38"/>
      <c r="AH13" s="38"/>
      <c r="AI13" s="926"/>
      <c r="AJ13" s="82"/>
      <c r="AK13" s="38"/>
      <c r="AL13" s="20">
        <f>IF(ISNUMBER(G13),G13,0)+IF(ISNUMBER(L13),L13,0)+IF(ISNUMBER(Q13),Q13,0)+IF(ISNUMBER(V13),V13,0)+IF(ISNUMBER(AA13),AA13,0)+IF(ISNUMBER(G10),G10,0)+IF(ISNUMBER(L6),L6,0)</f>
        <v>0</v>
      </c>
      <c r="AM13" s="67">
        <f>IF(ISNUMBER(C13),C13,0)+IF(ISNUMBER(H13),H13,0)+IF(ISNUMBER(M13),M13,0)+IF(ISNUMBER(C10),C10,0)+IF(ISNUMBER(H6),H6,0)</f>
        <v>0</v>
      </c>
      <c r="AN13" s="21">
        <f>IF(ISNUMBER(E13),E13,0)+IF(ISNUMBER(J13),J13,0)+IF(ISNUMBER(O13),O13,0)+IF(ISNUMBER(T13),T13,0)+IF(ISNUMBER(Y13),Y13,0)+IF(ISNUMBER(E9),E9,0)+IF(ISNUMBER(J5),J5,0)</f>
        <v>0</v>
      </c>
      <c r="AO13" s="75">
        <f>ROUNDDOWN(IF($AM13=0,0,$AM13/$AN13),$G$2)</f>
        <v>0</v>
      </c>
      <c r="AP13" s="75">
        <f>rangs!$CA$8</f>
        <v>0</v>
      </c>
      <c r="AQ13" s="21">
        <f>MAX(D13,I13,N13,S13,X13,D10,I6)</f>
        <v>0</v>
      </c>
      <c r="AR13" s="22">
        <f>rangs!S7</f>
        <v>1</v>
      </c>
      <c r="AS13" s="717">
        <f>rangs!S7</f>
        <v>1</v>
      </c>
      <c r="BC13" s="74"/>
      <c r="BD13" s="74"/>
      <c r="BE13" s="73">
        <f>VLOOKUP(SMALL($BE$5:$BE$10,2),$BE$5:$BI$10,2,0)</f>
        <v>1</v>
      </c>
      <c r="BF13" s="73">
        <f>VLOOKUP(SMALL($BE$5:$BE$10,2),$BE$5:$BI$10,3,0)</f>
      </c>
      <c r="BG13" s="73">
        <f>VLOOKUP(SMALL($BE$5:$BE$10,2),$BE$5:$BI$10,4,0)</f>
      </c>
      <c r="BH13" s="73" t="str">
        <f>VLOOKUP(SMALL($BE$5:$BE$10,2),$BE$5:$BI$10,5,0)</f>
        <v>1er</v>
      </c>
      <c r="BI13" s="74">
        <f>IF(BG13=0,BF13&amp;BF$19&amp;BH13&amp;BF$20,IF(BG13=1,BF13&amp;BF$19&amp;BH13&amp;BF$21,IF(BG13=2,BF13&amp;BF$19&amp;BH13&amp;BF$22,IF(BG13=3,BF13&amp;BF$19&amp;BH13&amp;BF$23,IF(BG13=4,BF13&amp;BF$19&amp;BH13&amp;BF$24,IF(BG13=5,BF13&amp;BF$19&amp;BH13&amp;BF$25,IF(BG13=6,BF13&amp;BF$19&amp;BH13&amp;BF$26,IF(BG13=7,BF13&amp;BF$19&amp;BH13&amp;BF$27,""))))))))</f>
      </c>
    </row>
    <row r="14" spans="1:61" ht="16.5" customHeight="1" thickBot="1">
      <c r="A14" s="935"/>
      <c r="B14" s="19">
        <f>T('Runden - Tours'!H19)</f>
      </c>
      <c r="C14" s="39">
        <f>IF(AND(ISNUMBER('Runden - Tours'!T38),$F$15=0),'Runden - Tours'!T38,"")</f>
      </c>
      <c r="D14" s="263">
        <f>IF(AND(ISNUMBER('Runden - Tours'!V38),$F$15=0),'Runden - Tours'!V38,"")</f>
      </c>
      <c r="E14" s="941"/>
      <c r="F14" s="276">
        <f>IF(F15&gt;0,0,IF(AND(ISNUMBER(C14),ISNUMBER(E13)),IF(C14=0,0,ROUNDDOWN(C14/E13,$G$2)),""))</f>
      </c>
      <c r="G14" s="40">
        <f>IF(F15=1,0,IF(F15=2,2,IF(AND(ISNUMBER(C13),ISNUMBER(C14),ISNUMBER(E13)),IF(C14=C13,IF(E13=1,2.01,1),IF(C14&gt;C13,2,0)),"")))</f>
      </c>
      <c r="H14" s="39">
        <f>IF(AND(ISNUMBER('Runden - Tours'!I30),$K$15=0),'Runden - Tours'!I30,"")</f>
      </c>
      <c r="I14" s="263">
        <f>IF(AND(ISNUMBER('Runden - Tours'!L30),$K$15=0),'Runden - Tours'!L30,"")</f>
      </c>
      <c r="J14" s="941"/>
      <c r="K14" s="276">
        <f>IF(K15&gt;0,0,IF(AND(ISNUMBER(H14),ISNUMBER(J13)),IF(H14=0,0,ROUNDDOWN(H14/J13,$G$2)),""))</f>
      </c>
      <c r="L14" s="40">
        <f>IF(K15=1,0,IF(K15=2,2,IF(AND(ISNUMBER(H13),ISNUMBER(H14),ISNUMBER(J13)),IF(H14=H13,IF(J13=1,2.01,1),IF(H14&gt;H13,2,0)),"")))</f>
      </c>
      <c r="M14" s="39">
        <f>IF(AND(ISNUMBER('Runden - Tours'!I44),$P$15=0),'Runden - Tours'!I44,"")</f>
      </c>
      <c r="N14" s="263">
        <f>IF(AND(ISNUMBER('Runden - Tours'!L44),$P$15=0),'Runden - Tours'!L44,"")</f>
      </c>
      <c r="O14" s="941"/>
      <c r="P14" s="276">
        <f>IF(P15&gt;0,0,IF(AND(ISNUMBER(M14),ISNUMBER(O13)),IF(M14=0,0,ROUNDDOWN(M14/O13,$G$2)),""))</f>
      </c>
      <c r="Q14" s="40">
        <f>IF(P15=1,0,IF(P15=2,2,IF(AND(ISNUMBER(M13),ISNUMBER(M14),ISNUMBER(O13)),IF(M14=M13,IF(O13=1,2.01,1),IF(M14&gt;M13,2,0)),"")))</f>
      </c>
      <c r="R14" s="268"/>
      <c r="S14" s="269"/>
      <c r="T14" s="921"/>
      <c r="U14" s="281">
        <f>IF(AND(ISNUMBER(R14),ISNUMBER(T13)),IF(R14=0,0,ROUNDDOWN(R14/T13,$G$2)),"")</f>
      </c>
      <c r="V14" s="270">
        <f>IF(AND(ISNUMBER(R13),ISNUMBER(R14),ISNUMBER(T13)),IF(R14=R13,IF(T13=1,2,1),IF(R14&gt;R13,2,0)),"")</f>
      </c>
      <c r="W14" s="268"/>
      <c r="X14" s="269"/>
      <c r="Y14" s="921"/>
      <c r="Z14" s="276">
        <f>IF(AND(ISNUMBER(W14),ISNUMBER(Y13)),IF(W14=0,0,ROUNDDOWN(W14/Y13,$G$2)),"")</f>
      </c>
      <c r="AA14" s="40">
        <f>IF(AND(ISNUMBER(W13),ISNUMBER(W14),ISNUMBER(Y13)),IF(W14=W13,IF(Y13=1,2,1),IF(W14&gt;W13,2,0)),"")</f>
      </c>
      <c r="AB14" s="272"/>
      <c r="AC14" s="273"/>
      <c r="AD14" s="927"/>
      <c r="AE14" s="82"/>
      <c r="AF14" s="38"/>
      <c r="AG14" s="38"/>
      <c r="AH14" s="38"/>
      <c r="AI14" s="926"/>
      <c r="AJ14" s="82"/>
      <c r="AK14" s="38"/>
      <c r="AL14" s="20"/>
      <c r="AM14" s="21"/>
      <c r="AN14" s="21"/>
      <c r="AO14" s="75"/>
      <c r="AP14" s="75"/>
      <c r="AQ14" s="21"/>
      <c r="AR14" s="22"/>
      <c r="AS14" s="718"/>
      <c r="AT14" s="74"/>
      <c r="BC14" s="74"/>
      <c r="BD14" s="74"/>
      <c r="BE14" s="73">
        <f>VLOOKUP(SMALL($BE$5:$BE$10,3),$BE$5:$BI$10,2,0)</f>
        <v>1</v>
      </c>
      <c r="BF14" s="73">
        <f>VLOOKUP(SMALL($BE$5:$BE$10,3),$BE$5:$BI$10,3,0)</f>
      </c>
      <c r="BG14" s="73">
        <f>VLOOKUP(SMALL($BE$5:$BE$10,3),$BE$5:$BI$10,4,0)</f>
      </c>
      <c r="BH14" s="73" t="str">
        <f>VLOOKUP(SMALL($BE$5:$BE$10,3),$BE$5:$BI$10,5,0)</f>
        <v>1er</v>
      </c>
      <c r="BI14" s="74">
        <f>IF(BG14=0,BF14&amp;BF$19&amp;BH14&amp;BF$20,IF(BG14=1,BF14&amp;BF$19&amp;BH14&amp;BF$21,IF(BG14=2,BF14&amp;BF$19&amp;BH14&amp;BF$22,IF(BG14=3,BF14&amp;BF$19&amp;BH14&amp;BF$23,IF(BG14=4,BF14&amp;BF$19&amp;BH14&amp;BF$24,IF(BG14=5,BF14&amp;BF$19&amp;BH14&amp;BF$25,IF(BG14=6,BF14&amp;BF$19&amp;BH14&amp;BF$26,IF(BG14=7,BF14&amp;BF$19&amp;BH14&amp;BF$27,""))))))))</f>
      </c>
    </row>
    <row r="15" spans="1:61" ht="16.5" customHeight="1" thickBot="1">
      <c r="A15" s="935"/>
      <c r="B15" s="41"/>
      <c r="C15" s="932">
        <f>T(B17)</f>
      </c>
      <c r="D15" s="933"/>
      <c r="E15" s="933"/>
      <c r="F15" s="930">
        <f>IF('Runden - Tours'!$R$37="Forfait",2,IF('Runden - Tours'!$R$38="Forfait",1,0))</f>
        <v>0</v>
      </c>
      <c r="G15" s="931"/>
      <c r="H15" s="932">
        <f>T(B21)</f>
      </c>
      <c r="I15" s="933"/>
      <c r="J15" s="933"/>
      <c r="K15" s="930">
        <f>IF('Runden - Tours'!$F$29="Forfait",2,IF('Runden - Tours'!$F$30="Forfait",1,0))</f>
        <v>0</v>
      </c>
      <c r="L15" s="931"/>
      <c r="M15" s="932">
        <f>T(B25)</f>
      </c>
      <c r="N15" s="933"/>
      <c r="O15" s="933"/>
      <c r="P15" s="930">
        <f>IF('Runden - Tours'!$F$43="Forfait",2,IF('Runden - Tours'!$F$44="Forfait",1,0))</f>
        <v>0</v>
      </c>
      <c r="Q15" s="931"/>
      <c r="R15" s="932">
        <f>T(B29)</f>
      </c>
      <c r="S15" s="933"/>
      <c r="T15" s="933"/>
      <c r="U15" s="930"/>
      <c r="V15" s="931"/>
      <c r="W15" s="932">
        <f>T(B33)</f>
      </c>
      <c r="X15" s="933"/>
      <c r="Y15" s="933"/>
      <c r="Z15" s="930"/>
      <c r="AA15" s="931"/>
      <c r="AB15" s="924"/>
      <c r="AC15" s="925"/>
      <c r="AD15" s="925"/>
      <c r="AE15" s="925"/>
      <c r="AF15" s="925"/>
      <c r="AG15" s="922"/>
      <c r="AH15" s="922"/>
      <c r="AI15" s="922"/>
      <c r="AJ15" s="922"/>
      <c r="AK15" s="923"/>
      <c r="AL15" s="25"/>
      <c r="AM15" s="26"/>
      <c r="AN15" s="26"/>
      <c r="AO15" s="76"/>
      <c r="AP15" s="76"/>
      <c r="AQ15" s="26"/>
      <c r="AR15" s="27"/>
      <c r="AS15" s="718"/>
      <c r="AT15" s="74"/>
      <c r="BC15" s="256"/>
      <c r="BD15" s="74"/>
      <c r="BE15" s="73">
        <f>VLOOKUP(SMALL($BE$5:$BE$10,4),$BE$5:$BI$10,2,0)</f>
        <v>1</v>
      </c>
      <c r="BF15" s="73">
        <f>VLOOKUP(SMALL($BE$5:$BE$10,4),$BE$5:$BI$10,3,0)</f>
      </c>
      <c r="BG15" s="73">
        <f>VLOOKUP(SMALL($BE$5:$BE$10,4),$BE$5:$BI$10,4,0)</f>
      </c>
      <c r="BH15" s="73" t="str">
        <f>VLOOKUP(SMALL($BE$5:$BE$10,4),$BE$5:$BI$10,5,0)</f>
        <v>1er</v>
      </c>
      <c r="BI15" s="74">
        <f>IF(BG15=0,BF15&amp;BF$19&amp;BH15&amp;BF$20,IF(BG15=1,BF15&amp;BF$19&amp;BH15&amp;BF$21,IF(BG15=2,BF15&amp;BF$19&amp;BH15&amp;BF$22,IF(BG15=3,BF15&amp;BF$19&amp;BH15&amp;BF$23,IF(BG15=4,BF15&amp;BF$19&amp;BH15&amp;BF$24,IF(BG15=5,BF15&amp;BF$19&amp;BH15&amp;BF$25,IF(BG15=6,BF15&amp;BF$19&amp;BH15&amp;BF$26,IF(BG15=7,BF15&amp;BF$19&amp;BH15&amp;BF$27,""))))))))</f>
      </c>
    </row>
    <row r="16" spans="1:61" ht="16.5" customHeight="1" thickBot="1">
      <c r="A16" s="935">
        <v>4</v>
      </c>
      <c r="B16" s="24"/>
      <c r="C16" s="72" t="s">
        <v>9</v>
      </c>
      <c r="D16" s="70" t="s">
        <v>10</v>
      </c>
      <c r="E16" s="70" t="s">
        <v>4</v>
      </c>
      <c r="F16" s="87" t="s">
        <v>6</v>
      </c>
      <c r="G16" s="71" t="s">
        <v>2</v>
      </c>
      <c r="H16" s="72" t="s">
        <v>9</v>
      </c>
      <c r="I16" s="70" t="s">
        <v>10</v>
      </c>
      <c r="J16" s="70" t="s">
        <v>4</v>
      </c>
      <c r="K16" s="87" t="s">
        <v>6</v>
      </c>
      <c r="L16" s="71" t="s">
        <v>2</v>
      </c>
      <c r="M16" s="72" t="s">
        <v>9</v>
      </c>
      <c r="N16" s="70" t="s">
        <v>10</v>
      </c>
      <c r="O16" s="70" t="s">
        <v>4</v>
      </c>
      <c r="P16" s="87" t="s">
        <v>6</v>
      </c>
      <c r="Q16" s="71" t="s">
        <v>2</v>
      </c>
      <c r="R16" s="72" t="s">
        <v>9</v>
      </c>
      <c r="S16" s="70" t="s">
        <v>10</v>
      </c>
      <c r="T16" s="70" t="s">
        <v>4</v>
      </c>
      <c r="U16" s="87" t="s">
        <v>6</v>
      </c>
      <c r="V16" s="71" t="s">
        <v>2</v>
      </c>
      <c r="W16" s="44"/>
      <c r="X16" s="30"/>
      <c r="Y16" s="30"/>
      <c r="Z16" s="81"/>
      <c r="AA16" s="30"/>
      <c r="AB16" s="30"/>
      <c r="AC16" s="30"/>
      <c r="AD16" s="30"/>
      <c r="AE16" s="81"/>
      <c r="AF16" s="30"/>
      <c r="AG16" s="30"/>
      <c r="AH16" s="30"/>
      <c r="AI16" s="30"/>
      <c r="AJ16" s="81"/>
      <c r="AK16" s="30"/>
      <c r="AL16" s="32"/>
      <c r="AM16" s="33"/>
      <c r="AN16" s="33"/>
      <c r="AO16" s="77"/>
      <c r="AP16" s="77"/>
      <c r="AQ16" s="33"/>
      <c r="AR16" s="34"/>
      <c r="AS16" s="718"/>
      <c r="AT16" s="258"/>
      <c r="BC16" s="257"/>
      <c r="BD16" s="257"/>
      <c r="BE16" s="73">
        <f>VLOOKUP(SMALL($BE$5:$BE$10,5),$BE$5:$BI$10,2,0)</f>
        <v>1</v>
      </c>
      <c r="BF16" s="73">
        <f>VLOOKUP(SMALL($BE$5:$BE$10,5),$BE$5:$BI$10,3,0)</f>
      </c>
      <c r="BG16" s="73">
        <f>VLOOKUP(SMALL($BE$5:$BE$10,5),$BE$5:$BI$10,4,0)</f>
      </c>
      <c r="BH16" s="73" t="str">
        <f>VLOOKUP(SMALL($BE$5:$BE$10,5),$BE$5:$BI$10,5,0)</f>
        <v>1er</v>
      </c>
      <c r="BI16" s="74">
        <f>IF(BG16=0,BF16&amp;BF$19&amp;BH16&amp;BF$20,IF(BG16=1,BF16&amp;BF$19&amp;BH16&amp;BF$21,IF(BG16=2,BF16&amp;BF$19&amp;BH16&amp;BF$22,IF(BG16=3,BF16&amp;BF$19&amp;BH16&amp;BF$23,IF(BG16=4,BF16&amp;BF$19&amp;BH16&amp;BF$24,IF(BG16=5,BF16&amp;BF$19&amp;BH16&amp;BF$25,IF(BG16=6,BF16&amp;BF$19&amp;BH16&amp;BF$26,IF(BG16=7,BF16&amp;BF$19&amp;BH16&amp;BF$27,""))))))))</f>
      </c>
    </row>
    <row r="17" spans="1:61" ht="16.5" customHeight="1">
      <c r="A17" s="935"/>
      <c r="B17" s="19">
        <f>T('Runden - Tours'!E20)</f>
      </c>
      <c r="C17" s="35">
        <f>IF(AND(ISNUMBER('Runden - Tours'!T32),$F$19=0),'Runden - Tours'!T32,"")</f>
      </c>
      <c r="D17" s="262">
        <f>IF(AND(ISNUMBER('Runden - Tours'!V32),$F$19=0),'Runden - Tours'!V32,"")</f>
      </c>
      <c r="E17" s="940">
        <f>IF(AND(ISNUMBER('Runden - Tours'!U32),$F$19=0),'Runden - Tours'!U32,"")</f>
      </c>
      <c r="F17" s="275">
        <f>IF(F19&gt;0,0,IF(AND(ISNUMBER(C17),ISNUMBER(E17)),IF(C17=0,0,ROUNDDOWN(C17/E17,$G$2)),""))</f>
      </c>
      <c r="G17" s="36">
        <f>IF(F19=2,0,IF(F19=1,2,IF(AND(ISNUMBER(C17),ISNUMBER(C18),ISNUMBER(E17)),IF(C17=C18,IF(E17=1,2.01,1),IF(C17&gt;C18,2,0)),"")))</f>
      </c>
      <c r="H17" s="35">
        <f>IF(AND(ISNUMBER('Runden - Tours'!T15),$K$19=0),'Runden - Tours'!T15,"")</f>
      </c>
      <c r="I17" s="262">
        <f>IF(AND(ISNUMBER('Runden - Tours'!V15),$K$19=0),'Runden - Tours'!V15,"")</f>
      </c>
      <c r="J17" s="940">
        <f>IF(AND(ISNUMBER('Runden - Tours'!U15),$K$19=0),'Runden - Tours'!U15,"")</f>
      </c>
      <c r="K17" s="275">
        <f>IF(K19&gt;0,0,IF(AND(ISNUMBER(H17),ISNUMBER(J17)),IF(H17=0,0,ROUNDDOWN(H17/J17,$G$2)),""))</f>
      </c>
      <c r="L17" s="36">
        <f>IF(K19=2,0,IF(K19=1,2,IF(AND(ISNUMBER(H17),ISNUMBER(H18),ISNUMBER(J17)),IF(H17=H18,IF(J17=1,2.01,1),IF(H17&gt;H18,2,0)),"")))</f>
      </c>
      <c r="M17" s="264"/>
      <c r="N17" s="265"/>
      <c r="O17" s="920"/>
      <c r="P17" s="280">
        <f>IF(AND(ISNUMBER(M17),ISNUMBER(O17)),IF(M17=0,0,ROUNDDOWN(M17/O17,$G$2)),"")</f>
      </c>
      <c r="Q17" s="266">
        <f>IF(AND(ISNUMBER(M17),ISNUMBER(M18),ISNUMBER(O17)),IF(M17=M18,IF(O17=1,2,1),IF(M17&gt;M18,2,0)),"")</f>
      </c>
      <c r="R17" s="264"/>
      <c r="S17" s="265"/>
      <c r="T17" s="920"/>
      <c r="U17" s="275">
        <f>IF(AND(ISNUMBER(R17),ISNUMBER(T17)),IF(R17=0,0,ROUNDDOWN(R17/T17,$G$2)),"")</f>
      </c>
      <c r="V17" s="36">
        <f>IF(AND(ISNUMBER(R17),ISNUMBER(R18),ISNUMBER(T17)),IF(R17=R18,IF(T17=1,2,1),IF(R17&gt;R18,2,0)),"")</f>
      </c>
      <c r="W17" s="37"/>
      <c r="X17" s="38"/>
      <c r="Y17" s="942"/>
      <c r="Z17" s="82"/>
      <c r="AA17" s="38"/>
      <c r="AB17" s="38"/>
      <c r="AC17" s="38"/>
      <c r="AD17" s="926"/>
      <c r="AE17" s="82"/>
      <c r="AF17" s="38"/>
      <c r="AG17" s="38"/>
      <c r="AH17" s="38"/>
      <c r="AI17" s="926"/>
      <c r="AJ17" s="82"/>
      <c r="AK17" s="38"/>
      <c r="AL17" s="20">
        <f>IF(ISNUMBER(G17),G17,0)+IF(ISNUMBER(L17),L17,0)+IF(ISNUMBER(Q17),Q17,0)+IF(ISNUMBER(V17),V17,0)+IF(ISNUMBER(G14),G14,0)+IF(ISNUMBER(L10),L10,0)+IF(ISNUMBER(Q6),Q6,0)</f>
        <v>0</v>
      </c>
      <c r="AM17" s="67">
        <f>IF(ISNUMBER(C17),C17,0)+IF(ISNUMBER(H17),H17,0)+IF(ISNUMBER(M17),M17,0)+IF(ISNUMBER(R17),R17,0)+IF(ISNUMBER(C14),C14,0)+IF(ISNUMBER(H10),H10,0)+IF(ISNUMBER(M6),M6,0)</f>
        <v>0</v>
      </c>
      <c r="AN17" s="21">
        <f>IF(ISNUMBER(E17),E17,0)+IF(ISNUMBER(J17),J17,0)+IF(ISNUMBER(O17),O17,0)+IF(ISNUMBER(T17),T17,0)+IF(ISNUMBER(E13),E13,0)+IF(ISNUMBER(J9),J9,0)+IF(ISNUMBER(O5),O5,0)</f>
        <v>0</v>
      </c>
      <c r="AO17" s="75">
        <f>ROUNDDOWN(IF($AM17=0,0,$AM17/$AN17),$G$2)</f>
        <v>0</v>
      </c>
      <c r="AP17" s="75">
        <f>rangs!$CA$9</f>
        <v>0</v>
      </c>
      <c r="AQ17" s="21">
        <f>MAX(D17,I17,N17,S17,D14,I10,N6)</f>
        <v>0</v>
      </c>
      <c r="AR17" s="22">
        <f>rangs!S8</f>
        <v>1</v>
      </c>
      <c r="AS17" s="717">
        <f>rangs!S8</f>
        <v>1</v>
      </c>
      <c r="AT17" s="259"/>
      <c r="BC17" s="74"/>
      <c r="BD17" s="259"/>
      <c r="BE17" s="73">
        <f>VLOOKUP(SMALL($BE$5:$BE$10,6),$BE$5:$BI$10,2,0)</f>
        <v>1</v>
      </c>
      <c r="BF17" s="73">
        <f>VLOOKUP(SMALL($BE$5:$BE$10,6),$BE$5:$BI$10,3,0)</f>
      </c>
      <c r="BG17" s="73">
        <f>VLOOKUP(SMALL($BE$5:$BE$10,6),$BE$5:$BI$10,4,0)</f>
      </c>
      <c r="BH17" s="73" t="str">
        <f>VLOOKUP(SMALL($BE$5:$BE$10,6),$BE$5:$BI$10,5,0)</f>
        <v>1er</v>
      </c>
      <c r="BI17" s="74">
        <f>IF(BG17=0,BF17&amp;BF$19&amp;BH17&amp;BF$20,IF(BG17=1,BF17&amp;BF$19&amp;BH17&amp;BF$21,IF(BG17=2,BF17&amp;BF$19&amp;BH17&amp;BF$22,IF(BG17=3,BF17&amp;BF$19&amp;BH17&amp;BF$23,IF(BG17=4,BF17&amp;BF$19&amp;BH17&amp;BF$24,IF(BG17=5,BF17&amp;BF$19&amp;BH17&amp;BF$25,IF(BG17=6,BF17&amp;BF$19&amp;BH17&amp;BF$26,IF(BG17=7,BF17&amp;BF$19&amp;BH17&amp;BF$27,""))))))))</f>
      </c>
    </row>
    <row r="18" spans="1:61" ht="16.5" customHeight="1" thickBot="1">
      <c r="A18" s="935"/>
      <c r="B18" s="19">
        <f>T('Runden - Tours'!H20)</f>
      </c>
      <c r="C18" s="39">
        <f>IF(AND(ISNUMBER('Runden - Tours'!T33),$F$19=0),'Runden - Tours'!T33,"")</f>
      </c>
      <c r="D18" s="263">
        <f>IF(AND(ISNUMBER('Runden - Tours'!V33),$F$19=0),'Runden - Tours'!V33,"")</f>
      </c>
      <c r="E18" s="941"/>
      <c r="F18" s="276">
        <f>IF(F19&gt;0,0,IF(AND(ISNUMBER(C18),ISNUMBER(E17)),IF(C18=0,0,ROUNDDOWN(C18/E17,$G$2)),""))</f>
      </c>
      <c r="G18" s="40">
        <f>IF(F19=1,0,IF(F19=2,2,IF(AND(ISNUMBER(C17),ISNUMBER(C18),ISNUMBER(E17)),IF(C18=C17,IF(E17=1,2.01,1),IF(C18&gt;C17,2,0)),"")))</f>
      </c>
      <c r="H18" s="39">
        <f>IF(AND(ISNUMBER('Runden - Tours'!T16),$K$19=0),'Runden - Tours'!T16,"")</f>
      </c>
      <c r="I18" s="263">
        <f>IF(AND(ISNUMBER('Runden - Tours'!V16),$K$19=0),'Runden - Tours'!V16,"")</f>
      </c>
      <c r="J18" s="941"/>
      <c r="K18" s="276">
        <f>IF(K19&gt;0,0,IF(AND(ISNUMBER(H18),ISNUMBER(J17)),IF(H18=0,0,ROUNDDOWN(H18/J17,$G$2)),""))</f>
      </c>
      <c r="L18" s="40">
        <f>IF(K19=1,0,IF(K19=2,2,IF(AND(ISNUMBER(H17),ISNUMBER(H18),ISNUMBER(J17)),IF(H18=H17,IF(J17=1,2.01,1),IF(H18&gt;H17,2,0)),"")))</f>
      </c>
      <c r="M18" s="268"/>
      <c r="N18" s="269"/>
      <c r="O18" s="921"/>
      <c r="P18" s="281">
        <f>IF(AND(ISNUMBER(M18),ISNUMBER(O17)),IF(M18=0,0,ROUNDDOWN(M18/O17,$G$2)),"")</f>
      </c>
      <c r="Q18" s="270">
        <f>IF(AND(ISNUMBER(M17),ISNUMBER(M18),ISNUMBER(O17)),IF(M18=M17,IF(O17=1,2,1),IF(M18&gt;M17,2,0)),"")</f>
      </c>
      <c r="R18" s="268"/>
      <c r="S18" s="269"/>
      <c r="T18" s="921"/>
      <c r="U18" s="276">
        <f>IF(AND(ISNUMBER(R18),ISNUMBER(T17)),IF(R18=0,0,ROUNDDOWN(R18/T17,$G$2)),"")</f>
      </c>
      <c r="V18" s="40">
        <f>IF(AND(ISNUMBER(R17),ISNUMBER(R18),ISNUMBER(T17)),IF(R18=R17,IF(T17=1,2,1),IF(R18&gt;R17,2,0)),"")</f>
      </c>
      <c r="W18" s="37"/>
      <c r="X18" s="38"/>
      <c r="Y18" s="942"/>
      <c r="Z18" s="82"/>
      <c r="AA18" s="38"/>
      <c r="AB18" s="38"/>
      <c r="AC18" s="38"/>
      <c r="AD18" s="926"/>
      <c r="AE18" s="82"/>
      <c r="AF18" s="38"/>
      <c r="AG18" s="38"/>
      <c r="AH18" s="38"/>
      <c r="AI18" s="926"/>
      <c r="AJ18" s="82"/>
      <c r="AK18" s="38"/>
      <c r="AL18" s="20"/>
      <c r="AM18" s="21"/>
      <c r="AN18" s="21"/>
      <c r="AO18" s="75"/>
      <c r="AP18" s="75"/>
      <c r="AQ18" s="21"/>
      <c r="AR18" s="22"/>
      <c r="AS18" s="718"/>
      <c r="AT18" s="259"/>
      <c r="BC18" s="74"/>
      <c r="BD18" s="259"/>
      <c r="BE18" s="259"/>
      <c r="BF18" s="260"/>
      <c r="BG18" s="261"/>
      <c r="BH18" s="259"/>
      <c r="BI18" s="74"/>
    </row>
    <row r="19" spans="1:61" ht="16.5" customHeight="1" thickBot="1">
      <c r="A19" s="935"/>
      <c r="B19" s="41"/>
      <c r="C19" s="932">
        <f>T(B21)</f>
      </c>
      <c r="D19" s="933"/>
      <c r="E19" s="933"/>
      <c r="F19" s="930">
        <f>IF('Runden - Tours'!$R$32="Forfait",2,IF('Runden - Tours'!$R$33="Forfait",1,0))</f>
        <v>0</v>
      </c>
      <c r="G19" s="931"/>
      <c r="H19" s="932">
        <f>T(B25)</f>
      </c>
      <c r="I19" s="933"/>
      <c r="J19" s="933"/>
      <c r="K19" s="930">
        <f>IF('Runden - Tours'!$R$15="Forfait",2,IF('Runden - Tours'!$R$16="Forfait",1,0))</f>
        <v>0</v>
      </c>
      <c r="L19" s="931"/>
      <c r="M19" s="932">
        <f>T(B29)</f>
      </c>
      <c r="N19" s="933"/>
      <c r="O19" s="933"/>
      <c r="P19" s="930"/>
      <c r="Q19" s="931"/>
      <c r="R19" s="932">
        <f>T(B33)</f>
      </c>
      <c r="S19" s="933"/>
      <c r="T19" s="933"/>
      <c r="U19" s="930"/>
      <c r="V19" s="931"/>
      <c r="W19" s="936"/>
      <c r="X19" s="936"/>
      <c r="Y19" s="936"/>
      <c r="Z19" s="936"/>
      <c r="AA19" s="936"/>
      <c r="AB19" s="922"/>
      <c r="AC19" s="922"/>
      <c r="AD19" s="922"/>
      <c r="AE19" s="922"/>
      <c r="AF19" s="922"/>
      <c r="AG19" s="928"/>
      <c r="AH19" s="928"/>
      <c r="AI19" s="928"/>
      <c r="AJ19" s="928"/>
      <c r="AK19" s="929"/>
      <c r="AL19" s="25"/>
      <c r="AM19" s="26"/>
      <c r="AN19" s="26"/>
      <c r="AO19" s="76"/>
      <c r="AP19" s="76"/>
      <c r="AQ19" s="26"/>
      <c r="AR19" s="27"/>
      <c r="AS19" s="718"/>
      <c r="AT19" s="259"/>
      <c r="AU19" s="259"/>
      <c r="AV19" s="258"/>
      <c r="AW19" s="258"/>
      <c r="AX19" s="258"/>
      <c r="AY19" s="258"/>
      <c r="AZ19" s="74"/>
      <c r="BA19" s="74"/>
      <c r="BB19" s="74"/>
      <c r="BC19" s="74"/>
      <c r="BD19" s="259"/>
      <c r="BE19" s="259"/>
      <c r="BF19" s="260" t="str">
        <f>translate!B107</f>
        <v> est classé </v>
      </c>
      <c r="BG19" s="261"/>
      <c r="BH19" s="259"/>
      <c r="BI19" s="74"/>
    </row>
    <row r="20" spans="1:61" ht="16.5" customHeight="1" thickBot="1">
      <c r="A20" s="935">
        <v>5</v>
      </c>
      <c r="B20" s="24"/>
      <c r="C20" s="72" t="s">
        <v>9</v>
      </c>
      <c r="D20" s="70" t="s">
        <v>10</v>
      </c>
      <c r="E20" s="70" t="s">
        <v>4</v>
      </c>
      <c r="F20" s="87" t="s">
        <v>6</v>
      </c>
      <c r="G20" s="71" t="s">
        <v>2</v>
      </c>
      <c r="H20" s="72" t="s">
        <v>9</v>
      </c>
      <c r="I20" s="70" t="s">
        <v>10</v>
      </c>
      <c r="J20" s="70" t="s">
        <v>4</v>
      </c>
      <c r="K20" s="87" t="s">
        <v>6</v>
      </c>
      <c r="L20" s="71" t="s">
        <v>2</v>
      </c>
      <c r="M20" s="72" t="s">
        <v>9</v>
      </c>
      <c r="N20" s="70" t="s">
        <v>10</v>
      </c>
      <c r="O20" s="70" t="s">
        <v>4</v>
      </c>
      <c r="P20" s="87" t="s">
        <v>6</v>
      </c>
      <c r="Q20" s="71" t="s">
        <v>2</v>
      </c>
      <c r="R20" s="45"/>
      <c r="S20" s="46"/>
      <c r="T20" s="46"/>
      <c r="U20" s="88"/>
      <c r="V20" s="46"/>
      <c r="W20" s="30"/>
      <c r="X20" s="30"/>
      <c r="Y20" s="30"/>
      <c r="Z20" s="81"/>
      <c r="AA20" s="30"/>
      <c r="AB20" s="30"/>
      <c r="AC20" s="30"/>
      <c r="AD20" s="30"/>
      <c r="AE20" s="81"/>
      <c r="AF20" s="30"/>
      <c r="AG20" s="30"/>
      <c r="AH20" s="30"/>
      <c r="AI20" s="30"/>
      <c r="AJ20" s="81"/>
      <c r="AK20" s="30"/>
      <c r="AL20" s="32"/>
      <c r="AM20" s="33"/>
      <c r="AN20" s="33"/>
      <c r="AO20" s="77"/>
      <c r="AP20" s="77"/>
      <c r="AQ20" s="33"/>
      <c r="AR20" s="34"/>
      <c r="AS20" s="718"/>
      <c r="AT20" s="259"/>
      <c r="AU20" s="259"/>
      <c r="AX20" s="258"/>
      <c r="AY20" s="258"/>
      <c r="AZ20" s="74"/>
      <c r="BA20" s="74"/>
      <c r="BB20" s="74"/>
      <c r="BC20" s="74"/>
      <c r="BD20" s="259"/>
      <c r="BE20" s="259"/>
      <c r="BF20" s="260" t="str">
        <f>translate!B108</f>
        <v> basé sur la rencontre directe. </v>
      </c>
      <c r="BG20" s="261"/>
      <c r="BH20" s="259"/>
      <c r="BI20" s="74"/>
    </row>
    <row r="21" spans="1:61" ht="16.5" customHeight="1">
      <c r="A21" s="935"/>
      <c r="B21" s="19">
        <f>T('Runden - Tours'!E21)</f>
      </c>
      <c r="C21" s="35">
        <f>IF(AND(ISNUMBER('Runden - Tours'!T40),$F$23=0),'Runden - Tours'!T40,"")</f>
      </c>
      <c r="D21" s="262">
        <f>IF(AND(ISNUMBER('Runden - Tours'!V40),$F$23=0),'Runden - Tours'!V40,"")</f>
      </c>
      <c r="E21" s="940">
        <f>IF(AND(ISNUMBER('Runden - Tours'!U40),$F$23=0),'Runden - Tours'!U40,"")</f>
      </c>
      <c r="F21" s="275">
        <f>IF(F23&gt;0,0,IF(AND(ISNUMBER(C21),ISNUMBER(E21)),IF(C21=0,0,ROUNDDOWN(C21/E21,$G$2)),""))</f>
      </c>
      <c r="G21" s="36">
        <f>IF(F23=2,0,IF(F23=1,2,IF(AND(ISNUMBER(C21),ISNUMBER(C22),ISNUMBER(E21)),IF(C21=C22,IF(E21=1,2.01,1),IF(C21&gt;C22,2,0)),"")))</f>
      </c>
      <c r="H21" s="264"/>
      <c r="I21" s="265"/>
      <c r="J21" s="920"/>
      <c r="K21" s="280">
        <f>IF(AND(ISNUMBER(H21),ISNUMBER(J21)),IF(H21=0,0,ROUNDDOWN(H21/J21,$G$2)),"")</f>
      </c>
      <c r="L21" s="266">
        <f>IF(AND(ISNUMBER(H21),ISNUMBER(H22),ISNUMBER(J21)),IF(H21=H22,IF(J21=1,2,1),IF(H21&gt;H22,2,0)),"")</f>
      </c>
      <c r="M21" s="264"/>
      <c r="N21" s="265"/>
      <c r="O21" s="920"/>
      <c r="P21" s="275">
        <f>IF(AND(ISNUMBER(M21),ISNUMBER(O21)),IF(M21=0,0,ROUNDDOWN(M21/O21,$G$2)),"")</f>
      </c>
      <c r="Q21" s="36">
        <f>IF(AND(ISNUMBER(M21),ISNUMBER(M22),ISNUMBER(O21)),IF(M21=M22,IF(O21=1,2,1),IF(M21&gt;M22,2,0)),"")</f>
      </c>
      <c r="R21" s="274"/>
      <c r="S21" s="48"/>
      <c r="T21" s="937"/>
      <c r="U21" s="85"/>
      <c r="V21" s="48"/>
      <c r="W21" s="38"/>
      <c r="X21" s="38"/>
      <c r="Y21" s="926"/>
      <c r="Z21" s="82"/>
      <c r="AA21" s="38"/>
      <c r="AB21" s="38"/>
      <c r="AC21" s="38"/>
      <c r="AD21" s="926"/>
      <c r="AE21" s="82"/>
      <c r="AF21" s="38"/>
      <c r="AG21" s="38"/>
      <c r="AH21" s="38"/>
      <c r="AI21" s="926"/>
      <c r="AJ21" s="82"/>
      <c r="AK21" s="38"/>
      <c r="AL21" s="65">
        <f>IF(ISNUMBER(G21),G21,0)+IF(ISNUMBER(L21),L21,0)+IF(ISNUMBER(Q21),Q21,0)+IF(ISNUMBER(G18),G18,0)+IF(ISNUMBER(L14),L14,0)+IF(ISNUMBER(Q10),Q10,0)+IF(ISNUMBER(V6),V6,0)</f>
        <v>0</v>
      </c>
      <c r="AM21" s="67">
        <f>IF(ISNUMBER(C21),C21,0)+IF(ISNUMBER(H21),H21,0)+IF(ISNUMBER(M21),M21,0)+IF(ISNUMBER(C18),C18,0)+IF(ISNUMBER(H14),H14,0)+IF(ISNUMBER(M10),M10,0)+IF(ISNUMBER(R6),R6,0)</f>
        <v>0</v>
      </c>
      <c r="AN21" s="21">
        <f>IF(ISNUMBER(E21),E21,0)+IF(ISNUMBER(J21),J21,0)+IF(ISNUMBER(O21),O21,0)+IF(ISNUMBER(E17),E17,0)+IF(ISNUMBER(J13),J13,0)+IF(ISNUMBER(O9),O9,0)+IF(ISNUMBER(T5),T5,0)</f>
        <v>0</v>
      </c>
      <c r="AO21" s="75">
        <f>ROUNDDOWN(IF($AM21=0,0,$AM21/$AN21),$G$2)</f>
        <v>0</v>
      </c>
      <c r="AP21" s="75">
        <f>rangs!$CA$10</f>
        <v>0</v>
      </c>
      <c r="AQ21" s="21">
        <f>MAX(D21,I21,N21,D18,I14,N10,S6)</f>
        <v>0</v>
      </c>
      <c r="AR21" s="22">
        <f>rangs!S9</f>
        <v>1</v>
      </c>
      <c r="AS21" s="717">
        <f>rangs!S9</f>
        <v>1</v>
      </c>
      <c r="AT21" s="259"/>
      <c r="AU21" s="259"/>
      <c r="AX21" s="258"/>
      <c r="AY21" s="258"/>
      <c r="AZ21" s="74"/>
      <c r="BA21" s="74"/>
      <c r="BB21" s="74"/>
      <c r="BC21" s="74"/>
      <c r="BD21" s="259"/>
      <c r="BE21" s="259"/>
      <c r="BF21" s="260" t="str">
        <f>translate!B109</f>
        <v> basé sur la meilleure MG.  </v>
      </c>
      <c r="BG21" s="261"/>
      <c r="BH21" s="259"/>
      <c r="BI21" s="74"/>
    </row>
    <row r="22" spans="1:61" ht="16.5" customHeight="1" thickBot="1">
      <c r="A22" s="935"/>
      <c r="B22" s="19">
        <f>T('Runden - Tours'!H21)</f>
      </c>
      <c r="C22" s="39">
        <f>IF(AND(ISNUMBER('Runden - Tours'!T41),$F$23=0),'Runden - Tours'!T41,"")</f>
      </c>
      <c r="D22" s="263">
        <f>IF(AND(ISNUMBER('Runden - Tours'!V41),$F$23=0),'Runden - Tours'!V41,"")</f>
      </c>
      <c r="E22" s="941"/>
      <c r="F22" s="276">
        <f>IF(F23&gt;0,0,IF(AND(ISNUMBER(C22),ISNUMBER(E21)),IF(C22=0,0,ROUNDDOWN(C22/E21,$G$2)),""))</f>
      </c>
      <c r="G22" s="40">
        <f>IF(F23=1,0,IF(F23=2,2,IF(AND(ISNUMBER(C21),ISNUMBER(C22),ISNUMBER(E21)),IF(C22=C21,IF(E21=1,2.01,1),IF(C22&gt;C21,2,0)),"")))</f>
      </c>
      <c r="H22" s="268"/>
      <c r="I22" s="269"/>
      <c r="J22" s="921"/>
      <c r="K22" s="281">
        <f>IF(AND(ISNUMBER(H22),ISNUMBER(J21)),IF(H22=0,0,ROUNDDOWN(H22/J21,$G$2)),"")</f>
      </c>
      <c r="L22" s="270">
        <f>IF(AND(ISNUMBER(H21),ISNUMBER(H22),ISNUMBER(J21)),IF(H22=H21,IF(J21=1,2,1),IF(H22&gt;H21,2,0)),"")</f>
      </c>
      <c r="M22" s="268"/>
      <c r="N22" s="269"/>
      <c r="O22" s="921"/>
      <c r="P22" s="276">
        <f>IF(AND(ISNUMBER(M22),ISNUMBER(O21)),IF(M22=0,0,ROUNDDOWN(M22/O21,$G$2)),"")</f>
      </c>
      <c r="Q22" s="40">
        <f>IF(AND(ISNUMBER(M21),ISNUMBER(M22),ISNUMBER(O21)),IF(M22=M21,IF(O21=1,2,1),IF(M22&gt;M21,2,0)),"")</f>
      </c>
      <c r="R22" s="274"/>
      <c r="S22" s="48"/>
      <c r="T22" s="937"/>
      <c r="U22" s="85"/>
      <c r="V22" s="48"/>
      <c r="W22" s="38"/>
      <c r="X22" s="38"/>
      <c r="Y22" s="926"/>
      <c r="Z22" s="82"/>
      <c r="AA22" s="38"/>
      <c r="AB22" s="38"/>
      <c r="AC22" s="38"/>
      <c r="AD22" s="926"/>
      <c r="AE22" s="82"/>
      <c r="AF22" s="38"/>
      <c r="AG22" s="38"/>
      <c r="AH22" s="38"/>
      <c r="AI22" s="926"/>
      <c r="AJ22" s="82"/>
      <c r="AK22" s="38"/>
      <c r="AL22" s="20"/>
      <c r="AM22" s="21"/>
      <c r="AN22" s="21"/>
      <c r="AO22" s="75"/>
      <c r="AP22" s="75"/>
      <c r="AQ22" s="21"/>
      <c r="AR22" s="22"/>
      <c r="AS22" s="718"/>
      <c r="AT22" s="259"/>
      <c r="AU22" s="259"/>
      <c r="AX22" s="258"/>
      <c r="AY22" s="258"/>
      <c r="AZ22" s="74"/>
      <c r="BA22" s="74"/>
      <c r="BB22" s="74"/>
      <c r="BC22" s="74"/>
      <c r="BD22" s="259"/>
      <c r="BE22" s="259"/>
      <c r="BF22" s="260" t="str">
        <f>translate!B110</f>
        <v> basé sur la meilleure MP.  </v>
      </c>
      <c r="BG22" s="261"/>
      <c r="BH22" s="259"/>
      <c r="BI22" s="74"/>
    </row>
    <row r="23" spans="1:61" ht="16.5" customHeight="1" thickBot="1">
      <c r="A23" s="935"/>
      <c r="B23" s="41"/>
      <c r="C23" s="932">
        <f>T(B25)</f>
      </c>
      <c r="D23" s="933"/>
      <c r="E23" s="933"/>
      <c r="F23" s="930">
        <f>IF('Runden - Tours'!$R$40="Forfait",2,IF('Runden - Tours'!$R$41="Forfait",1,0))</f>
        <v>0</v>
      </c>
      <c r="G23" s="931"/>
      <c r="H23" s="932">
        <f>T(B29)</f>
      </c>
      <c r="I23" s="933"/>
      <c r="J23" s="933"/>
      <c r="K23" s="930"/>
      <c r="L23" s="931"/>
      <c r="M23" s="932">
        <f>T(B33)</f>
      </c>
      <c r="N23" s="933"/>
      <c r="O23" s="933"/>
      <c r="P23" s="930"/>
      <c r="Q23" s="931"/>
      <c r="R23" s="938"/>
      <c r="S23" s="938"/>
      <c r="T23" s="938"/>
      <c r="U23" s="938"/>
      <c r="V23" s="938"/>
      <c r="W23" s="922"/>
      <c r="X23" s="922"/>
      <c r="Y23" s="922"/>
      <c r="Z23" s="922"/>
      <c r="AA23" s="922"/>
      <c r="AB23" s="922"/>
      <c r="AC23" s="922"/>
      <c r="AD23" s="922"/>
      <c r="AE23" s="922"/>
      <c r="AF23" s="922"/>
      <c r="AG23" s="922"/>
      <c r="AH23" s="922"/>
      <c r="AI23" s="922"/>
      <c r="AJ23" s="922"/>
      <c r="AK23" s="923"/>
      <c r="AL23" s="25"/>
      <c r="AM23" s="26"/>
      <c r="AN23" s="26"/>
      <c r="AO23" s="76"/>
      <c r="AP23" s="76"/>
      <c r="AQ23" s="26"/>
      <c r="AR23" s="27"/>
      <c r="AS23" s="718"/>
      <c r="AT23" s="259"/>
      <c r="AU23" s="259"/>
      <c r="AX23" s="258"/>
      <c r="AY23" s="258"/>
      <c r="AZ23" s="259"/>
      <c r="BA23" s="259"/>
      <c r="BB23" s="259"/>
      <c r="BC23" s="259"/>
      <c r="BD23" s="259"/>
      <c r="BE23" s="259"/>
      <c r="BF23" s="260" t="str">
        <f>translate!B111</f>
        <v> basé sur la meilleure 2ème MP.  </v>
      </c>
      <c r="BG23" s="261"/>
      <c r="BH23" s="259"/>
      <c r="BI23" s="74"/>
    </row>
    <row r="24" spans="1:92" ht="16.5" customHeight="1" thickBot="1">
      <c r="A24" s="935">
        <v>6</v>
      </c>
      <c r="B24" s="24"/>
      <c r="C24" s="72" t="s">
        <v>9</v>
      </c>
      <c r="D24" s="70" t="s">
        <v>10</v>
      </c>
      <c r="E24" s="70" t="s">
        <v>4</v>
      </c>
      <c r="F24" s="87" t="s">
        <v>6</v>
      </c>
      <c r="G24" s="71" t="s">
        <v>2</v>
      </c>
      <c r="H24" s="72" t="s">
        <v>9</v>
      </c>
      <c r="I24" s="70" t="s">
        <v>10</v>
      </c>
      <c r="J24" s="70" t="s">
        <v>4</v>
      </c>
      <c r="K24" s="87" t="s">
        <v>6</v>
      </c>
      <c r="L24" s="71" t="s">
        <v>2</v>
      </c>
      <c r="M24" s="45"/>
      <c r="N24" s="46"/>
      <c r="O24" s="46"/>
      <c r="P24" s="88"/>
      <c r="Q24" s="46"/>
      <c r="R24" s="46"/>
      <c r="S24" s="46"/>
      <c r="T24" s="46"/>
      <c r="U24" s="88"/>
      <c r="V24" s="46"/>
      <c r="W24" s="30"/>
      <c r="X24" s="30"/>
      <c r="Y24" s="30"/>
      <c r="Z24" s="81"/>
      <c r="AA24" s="30"/>
      <c r="AB24" s="30"/>
      <c r="AC24" s="30"/>
      <c r="AD24" s="30"/>
      <c r="AE24" s="81"/>
      <c r="AF24" s="30"/>
      <c r="AG24" s="30"/>
      <c r="AH24" s="30"/>
      <c r="AI24" s="30"/>
      <c r="AJ24" s="81"/>
      <c r="AK24" s="30"/>
      <c r="AL24" s="32"/>
      <c r="AM24" s="33"/>
      <c r="AN24" s="33"/>
      <c r="AO24" s="77"/>
      <c r="AP24" s="77"/>
      <c r="AQ24" s="33"/>
      <c r="AR24" s="34"/>
      <c r="AS24" s="718"/>
      <c r="AT24" s="259"/>
      <c r="AU24" s="259"/>
      <c r="AX24" s="258"/>
      <c r="AY24" s="258"/>
      <c r="AZ24" s="259"/>
      <c r="BA24" s="259"/>
      <c r="BB24" s="259"/>
      <c r="BC24" s="259"/>
      <c r="BD24" s="259"/>
      <c r="BE24" s="259"/>
      <c r="BF24" s="260" t="str">
        <f>translate!B112</f>
        <v> basé sur la meilleure 3ème MP.  </v>
      </c>
      <c r="BG24" s="261"/>
      <c r="BH24" s="259"/>
      <c r="BI24" s="74"/>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20"/>
    </row>
    <row r="25" spans="1:92" ht="16.5" customHeight="1">
      <c r="A25" s="935"/>
      <c r="B25" s="19">
        <f>T('Runden - Tours'!E22)</f>
      </c>
      <c r="C25" s="264"/>
      <c r="D25" s="265"/>
      <c r="E25" s="920"/>
      <c r="F25" s="275">
        <f>IF(AND(ISNUMBER(C25),ISNUMBER(E25)),IF(C25=0,0,ROUNDDOWN(C25/E25,$G$2)),"")</f>
      </c>
      <c r="G25" s="36">
        <f>IF(AND(ISNUMBER(C25),ISNUMBER(C26),ISNUMBER(E25)),IF(C25=C26,IF(E25=1,2,1),IF(C25&gt;C26,2,0)),"")</f>
      </c>
      <c r="H25" s="264"/>
      <c r="I25" s="265"/>
      <c r="J25" s="920"/>
      <c r="K25" s="280">
        <f>IF(AND(ISNUMBER(H25),ISNUMBER(J25)),IF(H25=0,0,ROUNDDOWN(H25/J25,$G$2)),"")</f>
      </c>
      <c r="L25" s="36">
        <f>IF(AND(ISNUMBER(H25),ISNUMBER(H26),ISNUMBER(J25)),IF(H25=H26,IF(J25=1,2,1),IF(H25&gt;H26,2,0)),"")</f>
      </c>
      <c r="M25" s="274"/>
      <c r="N25" s="48"/>
      <c r="O25" s="937"/>
      <c r="P25" s="85"/>
      <c r="Q25" s="48"/>
      <c r="R25" s="48"/>
      <c r="S25" s="48"/>
      <c r="T25" s="937"/>
      <c r="U25" s="85"/>
      <c r="V25" s="48"/>
      <c r="W25" s="38"/>
      <c r="X25" s="38"/>
      <c r="Y25" s="926"/>
      <c r="Z25" s="82"/>
      <c r="AA25" s="38"/>
      <c r="AB25" s="38"/>
      <c r="AC25" s="38"/>
      <c r="AD25" s="926"/>
      <c r="AE25" s="82"/>
      <c r="AF25" s="38"/>
      <c r="AG25" s="38"/>
      <c r="AH25" s="38"/>
      <c r="AI25" s="926"/>
      <c r="AJ25" s="82"/>
      <c r="AK25" s="38"/>
      <c r="AL25" s="20">
        <f>IF(ISNUMBER(G25),G25,0)+IF(ISNUMBER(L25),L25,0)+IF(ISNUMBER(G22),G22,0)+IF(ISNUMBER(L18),L18,0)+IF(ISNUMBER(Q14),Q14,0)+IF(ISNUMBER(V10),V10,0)+IF(ISNUMBER(AA6),AA6,0)</f>
        <v>0</v>
      </c>
      <c r="AM25" s="67">
        <f>IF(ISNUMBER(C25),C25,0)+IF(ISNUMBER(H25),H25,0)+IF(ISNUMBER(C22),C22,0)+IF(ISNUMBER(H18),H18,0)+IF(ISNUMBER(M14),M14,0)+IF(ISNUMBER(R10),R10,0)+IF(ISNUMBER(W6),W6,0)</f>
        <v>0</v>
      </c>
      <c r="AN25" s="21">
        <f>IF(ISNUMBER(E25),E25,0)+IF(ISNUMBER(J25),J25,0)+IF(ISNUMBER(E21),E21,0)+IF(ISNUMBER(J17),J17,0)+IF(ISNUMBER(O13),O13,0)+IF(ISNUMBER(T9),T9,0)+IF(ISNUMBER(Y5),Y5,0)</f>
        <v>0</v>
      </c>
      <c r="AO25" s="75">
        <f>ROUNDDOWN(IF($AM25=0,0,$AM25/$AN25),$G$2)</f>
        <v>0</v>
      </c>
      <c r="AP25" s="75">
        <f>rangs!$CA$11</f>
        <v>0</v>
      </c>
      <c r="AQ25" s="21">
        <f>MAX(D25,I25,D22,I18,N14,S10,X6)</f>
        <v>0</v>
      </c>
      <c r="AR25" s="22">
        <f>rangs!S10</f>
        <v>1</v>
      </c>
      <c r="AS25" s="717">
        <f>rangs!S10</f>
        <v>1</v>
      </c>
      <c r="AT25" s="74"/>
      <c r="AU25" s="74"/>
      <c r="AX25" s="74"/>
      <c r="AY25" s="74"/>
      <c r="AZ25" s="74"/>
      <c r="BA25" s="256"/>
      <c r="BB25" s="256"/>
      <c r="BC25" s="256"/>
      <c r="BD25" s="259"/>
      <c r="BE25" s="259"/>
      <c r="BF25" s="260" t="str">
        <f>translate!B113</f>
        <v> basé sur la meilleure 4ème MP.  </v>
      </c>
      <c r="BG25" s="261"/>
      <c r="BH25" s="259"/>
      <c r="BI25" s="74"/>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row>
    <row r="26" spans="1:92" ht="16.5" customHeight="1" thickBot="1">
      <c r="A26" s="935"/>
      <c r="B26" s="19">
        <f>T('Runden - Tours'!H22)</f>
      </c>
      <c r="C26" s="268"/>
      <c r="D26" s="269"/>
      <c r="E26" s="921"/>
      <c r="F26" s="276">
        <f>IF(AND(ISNUMBER(C26),ISNUMBER(E25)),IF(C26=0,0,ROUNDDOWN(C26/E25,$G$2)),"")</f>
      </c>
      <c r="G26" s="40">
        <f>IF(AND(ISNUMBER(C25),ISNUMBER(C26),ISNUMBER(E25)),IF(C26=C25,IF(E25=1,2,1),IF(C26&gt;C25,2,0)),"")</f>
      </c>
      <c r="H26" s="268"/>
      <c r="I26" s="269"/>
      <c r="J26" s="921"/>
      <c r="K26" s="281">
        <f>IF(AND(ISNUMBER(H26),ISNUMBER(J25)),IF(H26=0,0,ROUNDDOWN(H26/J25,$G$2)),"")</f>
      </c>
      <c r="L26" s="40">
        <f>IF(AND(ISNUMBER(H25),ISNUMBER(H26),ISNUMBER(J25)),IF(H26=H25,IF(J25=1,2,1),IF(H26&gt;H25,2,0)),"")</f>
      </c>
      <c r="M26" s="274"/>
      <c r="N26" s="48"/>
      <c r="O26" s="937"/>
      <c r="P26" s="85"/>
      <c r="Q26" s="48"/>
      <c r="R26" s="48"/>
      <c r="S26" s="48"/>
      <c r="T26" s="937"/>
      <c r="U26" s="85"/>
      <c r="V26" s="48"/>
      <c r="W26" s="49"/>
      <c r="X26" s="50"/>
      <c r="Y26" s="926"/>
      <c r="Z26" s="83"/>
      <c r="AA26" s="50"/>
      <c r="AB26" s="38"/>
      <c r="AC26" s="38"/>
      <c r="AD26" s="926"/>
      <c r="AE26" s="82"/>
      <c r="AF26" s="38"/>
      <c r="AG26" s="38"/>
      <c r="AH26" s="38"/>
      <c r="AI26" s="926"/>
      <c r="AJ26" s="82"/>
      <c r="AK26" s="38"/>
      <c r="AL26" s="20"/>
      <c r="AM26" s="21"/>
      <c r="AN26" s="21"/>
      <c r="AO26" s="75"/>
      <c r="AP26" s="75"/>
      <c r="AQ26" s="21"/>
      <c r="AR26" s="22"/>
      <c r="AT26" s="74"/>
      <c r="AU26" s="74"/>
      <c r="AV26" s="74"/>
      <c r="AW26" s="74"/>
      <c r="AX26" s="74"/>
      <c r="AY26" s="74"/>
      <c r="AZ26" s="74"/>
      <c r="BA26" s="256"/>
      <c r="BB26" s="256"/>
      <c r="BC26" s="256"/>
      <c r="BD26" s="259"/>
      <c r="BE26" s="259"/>
      <c r="BF26" s="260" t="str">
        <f>translate!B114</f>
        <v> basé sur la meilleure 5ème MP.  </v>
      </c>
      <c r="BG26" s="261"/>
      <c r="BH26" s="259"/>
      <c r="BI26" s="74"/>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row>
    <row r="27" spans="1:61" ht="16.5" customHeight="1" thickBot="1">
      <c r="A27" s="935"/>
      <c r="B27" s="41"/>
      <c r="C27" s="932">
        <f>T(B29)</f>
      </c>
      <c r="D27" s="933"/>
      <c r="E27" s="933"/>
      <c r="F27" s="930"/>
      <c r="G27" s="931"/>
      <c r="H27" s="932">
        <f>T(B33)</f>
      </c>
      <c r="I27" s="933"/>
      <c r="J27" s="933"/>
      <c r="K27" s="930"/>
      <c r="L27" s="931"/>
      <c r="M27" s="938"/>
      <c r="N27" s="938"/>
      <c r="O27" s="938"/>
      <c r="P27" s="938"/>
      <c r="Q27" s="938"/>
      <c r="R27" s="939"/>
      <c r="S27" s="939"/>
      <c r="T27" s="939"/>
      <c r="U27" s="939"/>
      <c r="V27" s="939"/>
      <c r="W27" s="934"/>
      <c r="X27" s="934"/>
      <c r="Y27" s="934"/>
      <c r="Z27" s="934"/>
      <c r="AA27" s="934"/>
      <c r="AB27" s="922"/>
      <c r="AC27" s="922"/>
      <c r="AD27" s="922"/>
      <c r="AE27" s="922"/>
      <c r="AF27" s="922"/>
      <c r="AG27" s="922"/>
      <c r="AH27" s="922"/>
      <c r="AI27" s="922"/>
      <c r="AJ27" s="922"/>
      <c r="AK27" s="923"/>
      <c r="AL27" s="25"/>
      <c r="AM27" s="26"/>
      <c r="AN27" s="26"/>
      <c r="AO27" s="76"/>
      <c r="AP27" s="76"/>
      <c r="AQ27" s="26"/>
      <c r="AR27" s="27"/>
      <c r="AT27" s="74"/>
      <c r="AU27" s="74"/>
      <c r="AX27" s="74"/>
      <c r="AY27" s="74"/>
      <c r="AZ27" s="256"/>
      <c r="BA27" s="256"/>
      <c r="BB27" s="256"/>
      <c r="BC27" s="256"/>
      <c r="BD27" s="259"/>
      <c r="BE27" s="259"/>
      <c r="BF27" s="260" t="str">
        <f>translate!B115</f>
        <v> basé sur la meilleure série.  </v>
      </c>
      <c r="BG27" s="261"/>
      <c r="BH27" s="259"/>
      <c r="BI27" s="74"/>
    </row>
    <row r="28" spans="1:61" ht="16.5" customHeight="1" thickBot="1">
      <c r="A28" s="935">
        <v>7</v>
      </c>
      <c r="B28" s="24"/>
      <c r="C28" s="72" t="s">
        <v>9</v>
      </c>
      <c r="D28" s="70" t="s">
        <v>10</v>
      </c>
      <c r="E28" s="70" t="s">
        <v>4</v>
      </c>
      <c r="F28" s="87" t="s">
        <v>6</v>
      </c>
      <c r="G28" s="71" t="s">
        <v>2</v>
      </c>
      <c r="H28" s="45"/>
      <c r="I28" s="46"/>
      <c r="J28" s="46"/>
      <c r="K28" s="88"/>
      <c r="L28" s="46"/>
      <c r="M28" s="46"/>
      <c r="N28" s="46"/>
      <c r="O28" s="46"/>
      <c r="P28" s="88"/>
      <c r="Q28" s="46"/>
      <c r="R28" s="46"/>
      <c r="S28" s="46"/>
      <c r="T28" s="46"/>
      <c r="U28" s="88"/>
      <c r="V28" s="46"/>
      <c r="W28" s="51"/>
      <c r="X28" s="51"/>
      <c r="Y28" s="51"/>
      <c r="Z28" s="84"/>
      <c r="AA28" s="51"/>
      <c r="AB28" s="30"/>
      <c r="AC28" s="30"/>
      <c r="AD28" s="30"/>
      <c r="AE28" s="81"/>
      <c r="AF28" s="30"/>
      <c r="AG28" s="30"/>
      <c r="AH28" s="30"/>
      <c r="AI28" s="30"/>
      <c r="AJ28" s="81"/>
      <c r="AK28" s="30"/>
      <c r="AL28" s="32"/>
      <c r="AM28" s="33"/>
      <c r="AN28" s="33"/>
      <c r="AO28" s="77"/>
      <c r="AP28" s="77"/>
      <c r="AQ28" s="33"/>
      <c r="AR28" s="34"/>
      <c r="AT28" s="74"/>
      <c r="AU28" s="74"/>
      <c r="AX28" s="74"/>
      <c r="AY28" s="74"/>
      <c r="AZ28" s="74"/>
      <c r="BA28" s="256"/>
      <c r="BB28" s="256"/>
      <c r="BC28" s="256"/>
      <c r="BD28" s="259"/>
      <c r="BE28" s="259"/>
      <c r="BF28" s="260"/>
      <c r="BG28" s="261"/>
      <c r="BH28" s="259"/>
      <c r="BI28" s="74"/>
    </row>
    <row r="29" spans="1:61" ht="16.5" customHeight="1" thickBot="1">
      <c r="A29" s="935"/>
      <c r="B29" s="282"/>
      <c r="C29" s="264"/>
      <c r="D29" s="265"/>
      <c r="E29" s="920"/>
      <c r="F29" s="278">
        <f>IF(AND(ISNUMBER(C29),ISNUMBER(E29)),IF(C29=0,0,ROUNDDOWN(C29/E29,$G$2)),"")</f>
      </c>
      <c r="G29" s="267">
        <f>IF(AND(ISNUMBER(C29),ISNUMBER(C30),ISNUMBER(E29)),IF(C29=C30,IF(E29=1,2,1),IF(C29&gt;C30,2,0)),"")</f>
      </c>
      <c r="H29" s="47"/>
      <c r="I29" s="48"/>
      <c r="J29" s="937"/>
      <c r="K29" s="85"/>
      <c r="L29" s="48"/>
      <c r="M29" s="48"/>
      <c r="N29" s="48"/>
      <c r="O29" s="937"/>
      <c r="P29" s="85"/>
      <c r="Q29" s="48"/>
      <c r="R29" s="48"/>
      <c r="S29" s="48"/>
      <c r="T29" s="937"/>
      <c r="U29" s="85"/>
      <c r="V29" s="48"/>
      <c r="W29" s="48"/>
      <c r="X29" s="48"/>
      <c r="Y29" s="937"/>
      <c r="Z29" s="85"/>
      <c r="AA29" s="48"/>
      <c r="AB29" s="38"/>
      <c r="AC29" s="38"/>
      <c r="AD29" s="926"/>
      <c r="AE29" s="82"/>
      <c r="AF29" s="38"/>
      <c r="AG29" s="38"/>
      <c r="AH29" s="38"/>
      <c r="AI29" s="926"/>
      <c r="AJ29" s="82"/>
      <c r="AK29" s="38"/>
      <c r="AL29" s="20">
        <f>IF(ISNUMBER(G29),G29,0)+IF(ISNUMBER(G26),G26,0)+IF(ISNUMBER(L22),L22,0)+IF(ISNUMBER(Q18),Q18,0)+IF(ISNUMBER(V14),V14,0)+IF(ISNUMBER(AA10),AA10,0)+IF(ISNUMBER(AF6),AF6,0)</f>
        <v>0</v>
      </c>
      <c r="AM29" s="67">
        <f>IF(ISNUMBER(C29),C29,0)+IF(ISNUMBER(C26),C26,0)+IF(ISNUMBER(H22),H22,0)+IF(ISNUMBER(M18),M18,0)+IF(ISNUMBER(R14),R14,0)+IF(ISNUMBER(W10),W10,0)+IF(ISNUMBER(AB6),AB6,0)</f>
        <v>0</v>
      </c>
      <c r="AN29" s="21">
        <f>IF(ISNUMBER(E29),E29,0)+IF(ISNUMBER(E25),E25,0)+IF(ISNUMBER(J21),J21,0)+IF(ISNUMBER(O17),O17,0)+IF(ISNUMBER(T13),T13,0)+IF(ISNUMBER(Y9),Y9,0)+IF(ISNUMBER(AD5),AD5,0)</f>
        <v>0</v>
      </c>
      <c r="AO29" s="75">
        <f>ROUNDDOWN(IF($AM29=0,0,$AM29/$AN29),$G$2)</f>
        <v>0</v>
      </c>
      <c r="AP29" s="75">
        <f>MAX($AZ33:$BD33)</f>
        <v>0</v>
      </c>
      <c r="AQ29" s="21">
        <f>MAX(D29,D26,I22,N18,S14,X10,AC6)</f>
        <v>0</v>
      </c>
      <c r="AR29" s="22"/>
      <c r="AT29" s="74"/>
      <c r="AU29" s="74"/>
      <c r="AX29" s="74"/>
      <c r="AY29" s="74"/>
      <c r="AZ29" s="74"/>
      <c r="BA29" s="74"/>
      <c r="BB29" s="256"/>
      <c r="BC29" s="256"/>
      <c r="BD29" s="259"/>
      <c r="BE29" s="259"/>
      <c r="BF29" s="260"/>
      <c r="BG29" s="261"/>
      <c r="BH29" s="259"/>
      <c r="BI29" s="74"/>
    </row>
    <row r="30" spans="1:61" ht="16.5" customHeight="1" thickBot="1">
      <c r="A30" s="935"/>
      <c r="B30" s="283"/>
      <c r="C30" s="268"/>
      <c r="D30" s="269"/>
      <c r="E30" s="921"/>
      <c r="F30" s="279">
        <f>IF(AND(ISNUMBER(C30),ISNUMBER(E29)),IF(C30=0,0,ROUNDDOWN(C30/E29,$G$2)),"")</f>
      </c>
      <c r="G30" s="271">
        <f>IF(AND(ISNUMBER(C29),ISNUMBER(C30),ISNUMBER(E29)),IF(C30=C29,IF(E29=1,2,1),IF(C30&gt;C29,2,0)),"")</f>
      </c>
      <c r="H30" s="47"/>
      <c r="I30" s="48"/>
      <c r="J30" s="937"/>
      <c r="K30" s="85"/>
      <c r="L30" s="48"/>
      <c r="M30" s="48"/>
      <c r="N30" s="48"/>
      <c r="O30" s="937"/>
      <c r="P30" s="85"/>
      <c r="Q30" s="48"/>
      <c r="R30" s="48"/>
      <c r="S30" s="48"/>
      <c r="T30" s="937"/>
      <c r="U30" s="85"/>
      <c r="V30" s="48"/>
      <c r="W30" s="49"/>
      <c r="X30" s="50"/>
      <c r="Y30" s="937"/>
      <c r="Z30" s="83"/>
      <c r="AA30" s="50"/>
      <c r="AB30" s="49"/>
      <c r="AC30" s="50"/>
      <c r="AD30" s="926"/>
      <c r="AE30" s="83"/>
      <c r="AF30" s="50"/>
      <c r="AG30" s="38"/>
      <c r="AH30" s="38"/>
      <c r="AI30" s="926"/>
      <c r="AJ30" s="82"/>
      <c r="AK30" s="38"/>
      <c r="AL30" s="20"/>
      <c r="AM30" s="21"/>
      <c r="AN30" s="21"/>
      <c r="AO30" s="75"/>
      <c r="AP30" s="75"/>
      <c r="AQ30" s="21"/>
      <c r="AR30" s="22"/>
      <c r="AT30" s="74"/>
      <c r="AU30" s="74"/>
      <c r="AX30" s="74"/>
      <c r="AY30" s="74"/>
      <c r="AZ30" s="256"/>
      <c r="BA30" s="74"/>
      <c r="BB30" s="74"/>
      <c r="BC30" s="256"/>
      <c r="BD30" s="256"/>
      <c r="BE30" s="911">
        <f>CONCATENATE(IF(ISTEXT(calculations!BI12),calculations!BI12,""),IF(ISTEXT(calculations!BI13),calculations!BI13,""),IF(ISTEXT(calculations!BI14),calculations!BI14,""),IF(ISTEXT(calculations!BI15),calculations!BI15,""),IF(ISTEXT(calculations!BI16),calculations!BI16,""),IF(ISTEXT(calculations!BI17),calculations!BI17,""))</f>
      </c>
      <c r="BF30" s="912"/>
      <c r="BG30" s="912"/>
      <c r="BH30" s="912"/>
      <c r="BI30" s="913"/>
    </row>
    <row r="31" spans="1:61" ht="16.5" customHeight="1" thickBot="1">
      <c r="A31" s="935"/>
      <c r="B31" s="41"/>
      <c r="C31" s="932">
        <f>T(B33)</f>
      </c>
      <c r="D31" s="933"/>
      <c r="E31" s="933"/>
      <c r="F31" s="930"/>
      <c r="G31" s="931"/>
      <c r="H31" s="938"/>
      <c r="I31" s="938"/>
      <c r="J31" s="938"/>
      <c r="K31" s="938"/>
      <c r="L31" s="938"/>
      <c r="M31" s="939"/>
      <c r="N31" s="939"/>
      <c r="O31" s="939"/>
      <c r="P31" s="939"/>
      <c r="Q31" s="939"/>
      <c r="R31" s="939"/>
      <c r="S31" s="939"/>
      <c r="T31" s="939"/>
      <c r="U31" s="939"/>
      <c r="V31" s="939"/>
      <c r="W31" s="934"/>
      <c r="X31" s="934"/>
      <c r="Y31" s="934"/>
      <c r="Z31" s="934"/>
      <c r="AA31" s="934"/>
      <c r="AB31" s="934"/>
      <c r="AC31" s="934"/>
      <c r="AD31" s="934"/>
      <c r="AE31" s="934"/>
      <c r="AF31" s="934"/>
      <c r="AG31" s="922"/>
      <c r="AH31" s="922"/>
      <c r="AI31" s="922"/>
      <c r="AJ31" s="922"/>
      <c r="AK31" s="923"/>
      <c r="AL31" s="25"/>
      <c r="AM31" s="26"/>
      <c r="AN31" s="26"/>
      <c r="AO31" s="76"/>
      <c r="AP31" s="76"/>
      <c r="AQ31" s="26"/>
      <c r="AR31" s="27"/>
      <c r="AT31" s="74"/>
      <c r="AU31" s="74"/>
      <c r="AX31" s="74"/>
      <c r="AY31" s="74"/>
      <c r="AZ31" s="256"/>
      <c r="BA31" s="256"/>
      <c r="BB31" s="74"/>
      <c r="BC31" s="74"/>
      <c r="BD31" s="256"/>
      <c r="BE31" s="914"/>
      <c r="BF31" s="915"/>
      <c r="BG31" s="915"/>
      <c r="BH31" s="915"/>
      <c r="BI31" s="916"/>
    </row>
    <row r="32" spans="1:61" ht="16.5" customHeight="1">
      <c r="A32" s="935">
        <v>8</v>
      </c>
      <c r="B32" s="24"/>
      <c r="C32" s="45"/>
      <c r="D32" s="30"/>
      <c r="E32" s="30"/>
      <c r="F32" s="81"/>
      <c r="G32" s="30"/>
      <c r="H32" s="30"/>
      <c r="I32" s="30"/>
      <c r="J32" s="30"/>
      <c r="K32" s="81"/>
      <c r="L32" s="30"/>
      <c r="M32" s="30"/>
      <c r="N32" s="30"/>
      <c r="O32" s="30"/>
      <c r="P32" s="81"/>
      <c r="Q32" s="30"/>
      <c r="R32" s="30"/>
      <c r="S32" s="30"/>
      <c r="T32" s="30"/>
      <c r="U32" s="81"/>
      <c r="V32" s="30"/>
      <c r="W32" s="30"/>
      <c r="X32" s="30"/>
      <c r="Y32" s="30"/>
      <c r="Z32" s="81"/>
      <c r="AA32" s="30"/>
      <c r="AB32" s="30"/>
      <c r="AC32" s="30"/>
      <c r="AD32" s="30"/>
      <c r="AE32" s="81"/>
      <c r="AF32" s="30"/>
      <c r="AG32" s="30"/>
      <c r="AH32" s="30"/>
      <c r="AI32" s="30"/>
      <c r="AJ32" s="81"/>
      <c r="AK32" s="30"/>
      <c r="AL32" s="32"/>
      <c r="AM32" s="33"/>
      <c r="AN32" s="33"/>
      <c r="AO32" s="77"/>
      <c r="AP32" s="77"/>
      <c r="AQ32" s="33"/>
      <c r="AR32" s="34"/>
      <c r="AT32" s="74"/>
      <c r="AU32" s="74"/>
      <c r="AX32" s="74"/>
      <c r="AY32" s="74"/>
      <c r="AZ32" s="256"/>
      <c r="BA32" s="256"/>
      <c r="BB32" s="256"/>
      <c r="BC32" s="74"/>
      <c r="BD32" s="256"/>
      <c r="BE32" s="914"/>
      <c r="BF32" s="915"/>
      <c r="BG32" s="915"/>
      <c r="BH32" s="915"/>
      <c r="BI32" s="916"/>
    </row>
    <row r="33" spans="1:61" ht="16.5" customHeight="1">
      <c r="A33" s="935"/>
      <c r="B33" s="283"/>
      <c r="C33" s="47"/>
      <c r="D33" s="38"/>
      <c r="E33" s="926"/>
      <c r="F33" s="82"/>
      <c r="G33" s="38"/>
      <c r="H33" s="38"/>
      <c r="I33" s="38"/>
      <c r="J33" s="926"/>
      <c r="K33" s="82"/>
      <c r="L33" s="38"/>
      <c r="M33" s="38"/>
      <c r="N33" s="38"/>
      <c r="O33" s="926"/>
      <c r="P33" s="82"/>
      <c r="Q33" s="38"/>
      <c r="R33" s="38"/>
      <c r="S33" s="38"/>
      <c r="T33" s="926"/>
      <c r="U33" s="82"/>
      <c r="V33" s="38"/>
      <c r="W33" s="38"/>
      <c r="X33" s="38"/>
      <c r="Y33" s="926"/>
      <c r="Z33" s="82"/>
      <c r="AA33" s="38"/>
      <c r="AB33" s="38"/>
      <c r="AC33" s="38"/>
      <c r="AD33" s="926"/>
      <c r="AE33" s="82"/>
      <c r="AF33" s="38"/>
      <c r="AG33" s="38"/>
      <c r="AH33" s="38"/>
      <c r="AI33" s="926"/>
      <c r="AJ33" s="82"/>
      <c r="AK33" s="38"/>
      <c r="AL33" s="20">
        <f>IF(ISNUMBER(G30),G30,0)+IF(ISNUMBER(L26),L26,0)+IF(ISNUMBER(Q22),Q22,0)+IF(ISNUMBER(V18),V18,0)+IF(ISNUMBER(AA14),AA14,0)+IF(ISNUMBER(AF10),AF10,0)+IF(ISNUMBER(AK6),AK6,0)</f>
        <v>0</v>
      </c>
      <c r="AM33" s="67">
        <f>IF(ISNUMBER(C30),C30,0)+IF(ISNUMBER(H26),H26,0)+IF(ISNUMBER(M22),M22,0)+IF(ISNUMBER(R18),R18,0)+IF(ISNUMBER(W14),W14,0)+IF(ISNUMBER(AB10),AB10,0)+IF(ISNUMBER(AG6),AG6,0)</f>
        <v>0</v>
      </c>
      <c r="AN33" s="21">
        <f>IF(ISNUMBER(E29),E29,0)+IF(ISNUMBER(J25),J25,0)+IF(ISNUMBER(O21),O21,0)+IF(ISNUMBER(T17),T17,0)+IF(ISNUMBER(Y13),Y13,0)+IF(ISNUMBER(AD9),AD9,0)+IF(ISNUMBER(AI5),AI5,0)</f>
        <v>0</v>
      </c>
      <c r="AO33" s="75">
        <f>ROUNDDOWN(IF($AM33=0,0,$AM33/$AN33),$G$2)</f>
        <v>0</v>
      </c>
      <c r="AP33" s="75">
        <f>MAX($AZ34:$BD34)</f>
        <v>0</v>
      </c>
      <c r="AQ33" s="21">
        <f>MAX(D30,I26,N22,S18,X14,AC10,AH6)</f>
        <v>0</v>
      </c>
      <c r="AR33" s="22"/>
      <c r="AT33" s="74"/>
      <c r="AU33" s="74"/>
      <c r="AV33" s="74"/>
      <c r="AW33" s="74"/>
      <c r="AX33" s="74"/>
      <c r="AY33" s="74"/>
      <c r="AZ33" s="256"/>
      <c r="BA33" s="256"/>
      <c r="BB33" s="256"/>
      <c r="BC33" s="256"/>
      <c r="BD33" s="256"/>
      <c r="BE33" s="914"/>
      <c r="BF33" s="915"/>
      <c r="BG33" s="915"/>
      <c r="BH33" s="915"/>
      <c r="BI33" s="916"/>
    </row>
    <row r="34" spans="1:61" ht="16.5" customHeight="1">
      <c r="A34" s="935"/>
      <c r="B34" s="283"/>
      <c r="C34" s="47"/>
      <c r="D34" s="38"/>
      <c r="E34" s="926"/>
      <c r="F34" s="82"/>
      <c r="G34" s="38"/>
      <c r="H34" s="38"/>
      <c r="I34" s="38"/>
      <c r="J34" s="926"/>
      <c r="K34" s="82"/>
      <c r="L34" s="38"/>
      <c r="M34" s="38"/>
      <c r="N34" s="38"/>
      <c r="O34" s="926"/>
      <c r="P34" s="82"/>
      <c r="Q34" s="38"/>
      <c r="R34" s="38"/>
      <c r="S34" s="38"/>
      <c r="T34" s="926"/>
      <c r="U34" s="82"/>
      <c r="V34" s="38"/>
      <c r="W34" s="38"/>
      <c r="X34" s="38"/>
      <c r="Y34" s="926"/>
      <c r="Z34" s="82"/>
      <c r="AA34" s="38"/>
      <c r="AB34" s="38"/>
      <c r="AC34" s="38"/>
      <c r="AD34" s="926"/>
      <c r="AE34" s="82"/>
      <c r="AF34" s="38"/>
      <c r="AG34" s="38"/>
      <c r="AH34" s="38"/>
      <c r="AI34" s="926"/>
      <c r="AJ34" s="82"/>
      <c r="AK34" s="38"/>
      <c r="AL34" s="52"/>
      <c r="AM34" s="53"/>
      <c r="AN34" s="53"/>
      <c r="AO34" s="66"/>
      <c r="AP34" s="66"/>
      <c r="AQ34" s="53"/>
      <c r="AR34" s="54"/>
      <c r="AT34" s="74"/>
      <c r="AU34" s="74"/>
      <c r="AV34" s="74"/>
      <c r="AW34" s="74"/>
      <c r="AX34" s="74"/>
      <c r="AY34" s="74"/>
      <c r="AZ34" s="256"/>
      <c r="BA34" s="256"/>
      <c r="BB34" s="256"/>
      <c r="BC34" s="256"/>
      <c r="BD34" s="256"/>
      <c r="BE34" s="914"/>
      <c r="BF34" s="915"/>
      <c r="BG34" s="915"/>
      <c r="BH34" s="915"/>
      <c r="BI34" s="916"/>
    </row>
    <row r="35" spans="1:61" ht="16.5" customHeight="1" thickBot="1">
      <c r="A35" s="935"/>
      <c r="B35" s="41"/>
      <c r="C35" s="936"/>
      <c r="D35" s="936"/>
      <c r="E35" s="936"/>
      <c r="F35" s="936"/>
      <c r="G35" s="936"/>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3"/>
      <c r="AL35" s="55"/>
      <c r="AM35" s="56"/>
      <c r="AN35" s="56"/>
      <c r="AO35" s="57"/>
      <c r="AP35" s="57"/>
      <c r="AQ35" s="56"/>
      <c r="AR35" s="58"/>
      <c r="BD35" s="256"/>
      <c r="BE35" s="914"/>
      <c r="BF35" s="915"/>
      <c r="BG35" s="915"/>
      <c r="BH35" s="915"/>
      <c r="BI35" s="916"/>
    </row>
    <row r="36" spans="3:61" ht="22.5" customHeight="1" thickBot="1">
      <c r="C36"/>
      <c r="D36"/>
      <c r="E36"/>
      <c r="F36" s="86"/>
      <c r="G36"/>
      <c r="H36"/>
      <c r="I36"/>
      <c r="J36"/>
      <c r="K36" s="86"/>
      <c r="L36"/>
      <c r="M36"/>
      <c r="N36"/>
      <c r="O36"/>
      <c r="P36" s="86"/>
      <c r="Q36"/>
      <c r="R36"/>
      <c r="S36"/>
      <c r="T36"/>
      <c r="U36" s="86"/>
      <c r="V36"/>
      <c r="W36"/>
      <c r="X36"/>
      <c r="Y36"/>
      <c r="Z36" s="86"/>
      <c r="AA36"/>
      <c r="AB36"/>
      <c r="AC36"/>
      <c r="AD36"/>
      <c r="AE36" s="86"/>
      <c r="AF36"/>
      <c r="AG36"/>
      <c r="AH36"/>
      <c r="AI36"/>
      <c r="AJ36" s="86"/>
      <c r="AK36"/>
      <c r="AM36" s="59">
        <f>SUM(AM5:AM33)</f>
        <v>0</v>
      </c>
      <c r="AN36" s="59">
        <f>SUM(AN5:AN33)</f>
        <v>0</v>
      </c>
      <c r="AO36" s="60">
        <f>MAX(AO5:AO33)</f>
        <v>0</v>
      </c>
      <c r="AP36" s="60">
        <f>MAX(AP5:AP33)</f>
        <v>0</v>
      </c>
      <c r="AQ36" s="60">
        <f>MAX(AQ5:AQ33)</f>
        <v>0</v>
      </c>
      <c r="BD36" s="256"/>
      <c r="BE36" s="917"/>
      <c r="BF36" s="918"/>
      <c r="BG36" s="918"/>
      <c r="BH36" s="918"/>
      <c r="BI36" s="919"/>
    </row>
    <row r="37" spans="2:61" ht="12.75">
      <c r="B37" s="1" t="s">
        <v>12</v>
      </c>
      <c r="C37" s="23" t="str">
        <f>SUBSTITUTE(CONCATENATE(IF($AP5=$AP$36,CONCATENATE(" - ",$B5),""),IF($AP9=$AP$36,CONCATENATE(" - ",$B9),""),IF($AP13=$AP$36,CONCATENATE(" - ",$B13),""),IF($AP17=$AP$36,CONCATENATE(" - ",$B17),""),IF($AP21=$AP$36,CONCATENATE(" - ",$B21),""),IF($AP25=$AP$36,CONCATENATE(" - ",$B25),""))," - ","",1)</f>
        <v> -  -  -  -  - </v>
      </c>
      <c r="D37"/>
      <c r="E37"/>
      <c r="F37" s="86"/>
      <c r="G37"/>
      <c r="H37"/>
      <c r="I37"/>
      <c r="J37"/>
      <c r="K37" s="86"/>
      <c r="L37"/>
      <c r="M37"/>
      <c r="N37"/>
      <c r="O37"/>
      <c r="P37" s="86"/>
      <c r="Q37"/>
      <c r="R37"/>
      <c r="S37"/>
      <c r="T37"/>
      <c r="U37" s="86"/>
      <c r="V37"/>
      <c r="W37"/>
      <c r="X37"/>
      <c r="Y37"/>
      <c r="Z37" s="86"/>
      <c r="AA37"/>
      <c r="AB37"/>
      <c r="AC37"/>
      <c r="AD37"/>
      <c r="AE37" s="86"/>
      <c r="AF37"/>
      <c r="AG37"/>
      <c r="AH37"/>
      <c r="AI37"/>
      <c r="AJ37" s="86"/>
      <c r="AK37"/>
      <c r="BD37" s="74"/>
      <c r="BE37" s="256"/>
      <c r="BF37" s="256"/>
      <c r="BG37" s="74"/>
      <c r="BH37" s="74"/>
      <c r="BI37" s="74"/>
    </row>
    <row r="38" spans="2:61" ht="12.75">
      <c r="B38" s="1" t="s">
        <v>13</v>
      </c>
      <c r="C38" t="str">
        <f>SUBSTITUTE(CONCATENATE(IF($AO5=$AO$36,CONCATENATE(" - ",$B5),""),IF($AO9=$AO$36,CONCATENATE(" - ",$B9),""),IF($AO13=$AO$36,CONCATENATE(" - ",$B13),""),IF($AO17=$AO$36,CONCATENATE(" - ",$B17),""),IF($AO21=$AO$36,CONCATENATE(" - ",$B21),""),IF($AO25=$AO$36,CONCATENATE(" - ",$B25),""))," - ","",1)</f>
        <v> -  -  -  -  - </v>
      </c>
      <c r="D38"/>
      <c r="E38"/>
      <c r="F38" s="86"/>
      <c r="G38"/>
      <c r="H38"/>
      <c r="I38"/>
      <c r="J38"/>
      <c r="K38" s="86"/>
      <c r="L38"/>
      <c r="M38"/>
      <c r="N38"/>
      <c r="O38"/>
      <c r="P38" s="86"/>
      <c r="Q38"/>
      <c r="R38"/>
      <c r="S38"/>
      <c r="T38"/>
      <c r="U38" s="86"/>
      <c r="V38"/>
      <c r="W38"/>
      <c r="X38"/>
      <c r="Y38"/>
      <c r="Z38" s="86"/>
      <c r="AA38"/>
      <c r="AB38"/>
      <c r="AC38"/>
      <c r="AD38"/>
      <c r="AE38" s="86"/>
      <c r="AF38"/>
      <c r="AG38"/>
      <c r="AH38"/>
      <c r="AI38"/>
      <c r="AJ38" s="86"/>
      <c r="AK38"/>
      <c r="BD38" s="74"/>
      <c r="BE38" s="256"/>
      <c r="BF38" s="256"/>
      <c r="BG38" s="74"/>
      <c r="BH38" s="74"/>
      <c r="BI38" s="74"/>
    </row>
    <row r="39" spans="2:61" ht="12.75">
      <c r="B39" s="1" t="s">
        <v>14</v>
      </c>
      <c r="C39" s="23" t="str">
        <f>SUBSTITUTE(CONCATENATE(IF($AQ5=$AQ$36,CONCATENATE(" - ",$B5),""),IF($AQ9=$AQ$36,CONCATENATE(" - ",$B9),""),IF($AQ13=$AQ$36,CONCATENATE(" - ",$B13),""),IF($AQ17=$AQ$36,CONCATENATE(" - ",$B17),""),IF($AQ21=$AQ$36,CONCATENATE(" - ",$B21),""),IF($AQ25=$AQ$36,CONCATENATE(" - ",$B25),""))," - ",,1)</f>
        <v> -  -  -  -  - </v>
      </c>
      <c r="D39"/>
      <c r="E39"/>
      <c r="F39" s="86"/>
      <c r="G39"/>
      <c r="H39"/>
      <c r="I39"/>
      <c r="J39"/>
      <c r="K39" s="86"/>
      <c r="L39"/>
      <c r="M39"/>
      <c r="N39"/>
      <c r="O39"/>
      <c r="P39" s="86"/>
      <c r="Q39"/>
      <c r="R39"/>
      <c r="S39"/>
      <c r="T39"/>
      <c r="U39" s="86"/>
      <c r="V39"/>
      <c r="W39"/>
      <c r="X39"/>
      <c r="Y39"/>
      <c r="Z39" s="86"/>
      <c r="AA39"/>
      <c r="AB39"/>
      <c r="AC39"/>
      <c r="AD39"/>
      <c r="AE39" s="86"/>
      <c r="AF39"/>
      <c r="AG39"/>
      <c r="AH39"/>
      <c r="AI39"/>
      <c r="AJ39" s="86"/>
      <c r="AK39"/>
      <c r="BD39" s="256"/>
      <c r="BE39" s="256"/>
      <c r="BF39" s="256"/>
      <c r="BG39" s="74"/>
      <c r="BH39" s="74"/>
      <c r="BI39" s="74"/>
    </row>
    <row r="40" spans="3:61" ht="12.75">
      <c r="C40"/>
      <c r="D40"/>
      <c r="E40"/>
      <c r="F40" s="86"/>
      <c r="G40"/>
      <c r="H40"/>
      <c r="I40"/>
      <c r="J40"/>
      <c r="K40" s="86"/>
      <c r="L40"/>
      <c r="M40"/>
      <c r="N40"/>
      <c r="O40"/>
      <c r="P40" s="86"/>
      <c r="Q40"/>
      <c r="R40"/>
      <c r="S40"/>
      <c r="T40"/>
      <c r="U40" s="86"/>
      <c r="V40"/>
      <c r="W40"/>
      <c r="X40"/>
      <c r="Y40"/>
      <c r="Z40" s="86"/>
      <c r="AA40"/>
      <c r="AB40"/>
      <c r="AC40"/>
      <c r="AD40"/>
      <c r="AE40" s="86"/>
      <c r="AF40"/>
      <c r="AG40"/>
      <c r="AH40"/>
      <c r="AI40"/>
      <c r="AJ40" s="86"/>
      <c r="AK40"/>
      <c r="BE40" s="74"/>
      <c r="BF40" s="74"/>
      <c r="BG40" s="74"/>
      <c r="BH40" s="74"/>
      <c r="BI40" s="74"/>
    </row>
    <row r="41" spans="2:5" ht="12.75">
      <c r="B41" s="1" t="s">
        <v>15</v>
      </c>
      <c r="C41" s="935">
        <f>IF(AN36=0,0,AM36/AN36)</f>
        <v>0</v>
      </c>
      <c r="D41" s="935"/>
      <c r="E41" s="935"/>
    </row>
    <row r="42" spans="21:39" ht="12.75">
      <c r="U42" s="98"/>
      <c r="V42" s="98"/>
      <c r="W42" s="98"/>
      <c r="X42" s="98"/>
      <c r="Y42" s="98"/>
      <c r="Z42" s="98"/>
      <c r="AA42" s="98"/>
      <c r="AB42" s="98"/>
      <c r="AC42" s="98"/>
      <c r="AD42" s="98"/>
      <c r="AE42" s="98"/>
      <c r="AF42" s="98"/>
      <c r="AG42" s="98"/>
      <c r="AH42" s="98"/>
      <c r="AI42" s="98"/>
      <c r="AJ42" s="98"/>
      <c r="AK42" s="98"/>
      <c r="AL42" s="97"/>
      <c r="AM42" s="97"/>
    </row>
    <row r="43" spans="21:39" ht="12.75">
      <c r="U43" s="98"/>
      <c r="V43" s="98"/>
      <c r="W43" s="98"/>
      <c r="X43" s="98"/>
      <c r="Y43" s="98"/>
      <c r="Z43" s="98"/>
      <c r="AA43" s="98"/>
      <c r="AB43" s="98"/>
      <c r="AC43" s="98"/>
      <c r="AD43" s="98"/>
      <c r="AE43" s="98"/>
      <c r="AF43" s="98"/>
      <c r="AG43" s="98"/>
      <c r="AH43" s="98"/>
      <c r="AI43" s="98"/>
      <c r="AJ43" s="98"/>
      <c r="AK43" s="98"/>
      <c r="AL43" s="97"/>
      <c r="AM43" s="97"/>
    </row>
    <row r="44" spans="21:39" ht="12.75">
      <c r="U44" s="98"/>
      <c r="V44" s="98"/>
      <c r="W44" s="98"/>
      <c r="X44" s="98"/>
      <c r="Y44" s="98"/>
      <c r="Z44" s="98"/>
      <c r="AA44" s="98"/>
      <c r="AB44" s="98"/>
      <c r="AC44" s="98"/>
      <c r="AD44" s="98"/>
      <c r="AE44" s="98"/>
      <c r="AF44" s="98"/>
      <c r="AG44" s="98"/>
      <c r="AH44" s="98"/>
      <c r="AI44" s="98"/>
      <c r="AJ44" s="98"/>
      <c r="AK44" s="98"/>
      <c r="AL44" s="97"/>
      <c r="AM44" s="97"/>
    </row>
    <row r="45" spans="21:39" ht="12.75">
      <c r="U45" s="98"/>
      <c r="V45" s="98"/>
      <c r="W45" s="98"/>
      <c r="X45" s="98"/>
      <c r="Y45" s="98"/>
      <c r="Z45" s="98"/>
      <c r="AA45" s="98"/>
      <c r="AB45" s="98"/>
      <c r="AC45" s="98"/>
      <c r="AD45" s="98"/>
      <c r="AE45" s="98"/>
      <c r="AF45" s="98"/>
      <c r="AG45" s="98"/>
      <c r="AH45" s="98"/>
      <c r="AI45" s="98"/>
      <c r="AJ45" s="98"/>
      <c r="AK45" s="98"/>
      <c r="AL45" s="97"/>
      <c r="AM45" s="97"/>
    </row>
    <row r="46" spans="21:39" ht="12.75">
      <c r="U46" s="98"/>
      <c r="V46" s="98"/>
      <c r="W46" s="98"/>
      <c r="X46" s="98"/>
      <c r="Y46" s="98"/>
      <c r="Z46" s="98"/>
      <c r="AA46" s="98"/>
      <c r="AB46" s="98"/>
      <c r="AC46" s="98"/>
      <c r="AD46" s="98"/>
      <c r="AE46" s="98"/>
      <c r="AF46" s="98"/>
      <c r="AG46" s="98"/>
      <c r="AH46" s="98"/>
      <c r="AI46" s="98"/>
      <c r="AJ46" s="98"/>
      <c r="AK46" s="98"/>
      <c r="AL46" s="97"/>
      <c r="AM46" s="97"/>
    </row>
    <row r="47" spans="21:39" ht="12.75">
      <c r="U47" s="98"/>
      <c r="V47" s="98"/>
      <c r="W47" s="98"/>
      <c r="X47" s="98"/>
      <c r="Y47" s="98"/>
      <c r="Z47" s="98"/>
      <c r="AA47" s="98"/>
      <c r="AB47" s="98"/>
      <c r="AC47" s="98"/>
      <c r="AD47" s="98"/>
      <c r="AE47" s="98"/>
      <c r="AF47" s="98"/>
      <c r="AG47" s="98"/>
      <c r="AH47" s="98"/>
      <c r="AI47" s="98"/>
      <c r="AJ47" s="98"/>
      <c r="AK47" s="98"/>
      <c r="AL47" s="97"/>
      <c r="AM47" s="97"/>
    </row>
    <row r="48" spans="21:39" ht="12.75">
      <c r="U48" s="98"/>
      <c r="V48" s="98"/>
      <c r="W48" s="98"/>
      <c r="X48" s="98"/>
      <c r="Y48" s="98"/>
      <c r="Z48" s="98"/>
      <c r="AA48" s="98"/>
      <c r="AB48" s="98"/>
      <c r="AC48" s="98"/>
      <c r="AD48" s="98"/>
      <c r="AE48" s="98"/>
      <c r="AF48" s="98"/>
      <c r="AG48" s="98"/>
      <c r="AH48" s="98"/>
      <c r="AI48" s="98"/>
      <c r="AJ48" s="98"/>
      <c r="AK48" s="98"/>
      <c r="AL48" s="97"/>
      <c r="AM48" s="97"/>
    </row>
    <row r="49" spans="21:39" ht="12.75">
      <c r="U49" s="98"/>
      <c r="V49" s="98"/>
      <c r="W49" s="98"/>
      <c r="X49" s="98"/>
      <c r="Y49" s="98"/>
      <c r="Z49" s="98"/>
      <c r="AA49" s="98"/>
      <c r="AB49" s="98"/>
      <c r="AC49" s="98"/>
      <c r="AD49" s="98"/>
      <c r="AE49" s="98"/>
      <c r="AF49" s="98"/>
      <c r="AG49" s="98"/>
      <c r="AH49" s="98"/>
      <c r="AI49" s="98"/>
      <c r="AJ49" s="98"/>
      <c r="AK49" s="98"/>
      <c r="AL49" s="97"/>
      <c r="AM49" s="97"/>
    </row>
    <row r="50" spans="7:39" ht="12.75">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7"/>
      <c r="AM50" s="97"/>
    </row>
    <row r="51" spans="7:39" ht="12.75">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7"/>
      <c r="AM51" s="97"/>
    </row>
    <row r="52" spans="7:39" ht="12.75">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7"/>
      <c r="AM52" s="97"/>
    </row>
    <row r="53" spans="7:39" ht="12.75">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7"/>
      <c r="AM53" s="97"/>
    </row>
    <row r="54" spans="7:39" ht="12.75">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7"/>
      <c r="AM54" s="97"/>
    </row>
    <row r="55" spans="7:39" ht="12.75">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7"/>
      <c r="AM55" s="97"/>
    </row>
    <row r="56" spans="7:39" ht="12.75">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7"/>
      <c r="AM56" s="97"/>
    </row>
    <row r="57" spans="7:39" ht="12.75">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7"/>
      <c r="AM57" s="97"/>
    </row>
    <row r="58" spans="7:39" ht="12.75">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7"/>
      <c r="AM58" s="97"/>
    </row>
    <row r="59" spans="7:39" ht="12.75">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7"/>
      <c r="AM59" s="97"/>
    </row>
    <row r="60" spans="7:39" ht="12.75">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7"/>
      <c r="AM60" s="97"/>
    </row>
  </sheetData>
  <sheetProtection password="814D" sheet="1" objects="1" scenarios="1" selectLockedCells="1"/>
  <mergeCells count="149">
    <mergeCell ref="C27:E27"/>
    <mergeCell ref="F27:G27"/>
    <mergeCell ref="H27:J27"/>
    <mergeCell ref="K27:L27"/>
    <mergeCell ref="C31:E31"/>
    <mergeCell ref="F31:G31"/>
    <mergeCell ref="AG7:AI7"/>
    <mergeCell ref="AJ7:AK7"/>
    <mergeCell ref="H23:J23"/>
    <mergeCell ref="K23:L23"/>
    <mergeCell ref="M23:O23"/>
    <mergeCell ref="P23:Q23"/>
    <mergeCell ref="M19:O19"/>
    <mergeCell ref="P19:Q19"/>
    <mergeCell ref="R19:T19"/>
    <mergeCell ref="U19:V19"/>
    <mergeCell ref="R15:T15"/>
    <mergeCell ref="U15:V15"/>
    <mergeCell ref="W15:Y15"/>
    <mergeCell ref="Z15:AA15"/>
    <mergeCell ref="C19:E19"/>
    <mergeCell ref="F19:G19"/>
    <mergeCell ref="H19:J19"/>
    <mergeCell ref="K19:L19"/>
    <mergeCell ref="C23:E23"/>
    <mergeCell ref="F23:G23"/>
    <mergeCell ref="W11:Y11"/>
    <mergeCell ref="Z11:AA11"/>
    <mergeCell ref="AB11:AD11"/>
    <mergeCell ref="H7:J7"/>
    <mergeCell ref="K7:L7"/>
    <mergeCell ref="M7:O7"/>
    <mergeCell ref="P7:Q7"/>
    <mergeCell ref="R7:T7"/>
    <mergeCell ref="U7:V7"/>
    <mergeCell ref="W7:Y7"/>
    <mergeCell ref="Z7:AA7"/>
    <mergeCell ref="C11:E11"/>
    <mergeCell ref="F11:G11"/>
    <mergeCell ref="H11:J11"/>
    <mergeCell ref="K11:L11"/>
    <mergeCell ref="M11:O11"/>
    <mergeCell ref="P11:Q11"/>
    <mergeCell ref="R11:T11"/>
    <mergeCell ref="U11:V11"/>
    <mergeCell ref="A8:A11"/>
    <mergeCell ref="E9:E10"/>
    <mergeCell ref="J9:J10"/>
    <mergeCell ref="O9:O10"/>
    <mergeCell ref="T9:T10"/>
    <mergeCell ref="Y9:Y10"/>
    <mergeCell ref="A4:A7"/>
    <mergeCell ref="E5:E6"/>
    <mergeCell ref="J5:J6"/>
    <mergeCell ref="O5:O6"/>
    <mergeCell ref="T5:T6"/>
    <mergeCell ref="Y5:Y6"/>
    <mergeCell ref="C7:E7"/>
    <mergeCell ref="F7:G7"/>
    <mergeCell ref="A12:A15"/>
    <mergeCell ref="E13:E14"/>
    <mergeCell ref="J13:J14"/>
    <mergeCell ref="O13:O14"/>
    <mergeCell ref="T13:T14"/>
    <mergeCell ref="Y13:Y14"/>
    <mergeCell ref="C15:E15"/>
    <mergeCell ref="F15:G15"/>
    <mergeCell ref="H15:J15"/>
    <mergeCell ref="K15:L15"/>
    <mergeCell ref="M15:O15"/>
    <mergeCell ref="P15:Q15"/>
    <mergeCell ref="A16:A19"/>
    <mergeCell ref="E17:E18"/>
    <mergeCell ref="J17:J18"/>
    <mergeCell ref="O17:O18"/>
    <mergeCell ref="T17:T18"/>
    <mergeCell ref="Y17:Y18"/>
    <mergeCell ref="A24:A27"/>
    <mergeCell ref="E25:E26"/>
    <mergeCell ref="J25:J26"/>
    <mergeCell ref="O25:O26"/>
    <mergeCell ref="T25:T26"/>
    <mergeCell ref="W19:AA19"/>
    <mergeCell ref="A20:A23"/>
    <mergeCell ref="E21:E22"/>
    <mergeCell ref="J21:J22"/>
    <mergeCell ref="O21:O22"/>
    <mergeCell ref="T21:T22"/>
    <mergeCell ref="Y21:Y22"/>
    <mergeCell ref="Y25:Y26"/>
    <mergeCell ref="M27:Q27"/>
    <mergeCell ref="R27:V27"/>
    <mergeCell ref="W27:AA27"/>
    <mergeCell ref="R23:V23"/>
    <mergeCell ref="W23:AA23"/>
    <mergeCell ref="A28:A31"/>
    <mergeCell ref="E29:E30"/>
    <mergeCell ref="J29:J30"/>
    <mergeCell ref="O29:O30"/>
    <mergeCell ref="T29:T30"/>
    <mergeCell ref="Y29:Y30"/>
    <mergeCell ref="H31:L31"/>
    <mergeCell ref="M31:Q31"/>
    <mergeCell ref="R31:V31"/>
    <mergeCell ref="C41:E41"/>
    <mergeCell ref="A32:A35"/>
    <mergeCell ref="E33:E34"/>
    <mergeCell ref="J33:J34"/>
    <mergeCell ref="O33:O34"/>
    <mergeCell ref="T33:T34"/>
    <mergeCell ref="Y33:Y34"/>
    <mergeCell ref="C35:G35"/>
    <mergeCell ref="H35:L35"/>
    <mergeCell ref="AI29:AI30"/>
    <mergeCell ref="AD29:AD30"/>
    <mergeCell ref="AG27:AK27"/>
    <mergeCell ref="AB27:AF27"/>
    <mergeCell ref="M35:Q35"/>
    <mergeCell ref="R35:V35"/>
    <mergeCell ref="W35:AA35"/>
    <mergeCell ref="AG35:AK35"/>
    <mergeCell ref="AB35:AF35"/>
    <mergeCell ref="AI33:AI34"/>
    <mergeCell ref="AD33:AD34"/>
    <mergeCell ref="W31:AA31"/>
    <mergeCell ref="BE30:BI36"/>
    <mergeCell ref="AI5:AI6"/>
    <mergeCell ref="AD5:AD6"/>
    <mergeCell ref="AG15:AK15"/>
    <mergeCell ref="AB15:AF15"/>
    <mergeCell ref="AI13:AI14"/>
    <mergeCell ref="AD13:AD14"/>
    <mergeCell ref="AI25:AI26"/>
    <mergeCell ref="AD25:AD26"/>
    <mergeCell ref="AG23:AK23"/>
    <mergeCell ref="AB23:AF23"/>
    <mergeCell ref="AI21:AI22"/>
    <mergeCell ref="AD21:AD22"/>
    <mergeCell ref="AI9:AI10"/>
    <mergeCell ref="AD9:AD10"/>
    <mergeCell ref="AG19:AK19"/>
    <mergeCell ref="AB19:AF19"/>
    <mergeCell ref="AI17:AI18"/>
    <mergeCell ref="AD17:AD18"/>
    <mergeCell ref="AE11:AF11"/>
    <mergeCell ref="AB7:AD7"/>
    <mergeCell ref="AE7:AF7"/>
    <mergeCell ref="AG31:AK31"/>
    <mergeCell ref="AB31:AF31"/>
  </mergeCells>
  <dataValidations count="1">
    <dataValidation type="list" operator="equal" allowBlank="1" sqref="B6 B26 B30 B22 B18 B14 B10 B34">
      <formula1>"Club,Aarauer,Basle,Bern,Bienne,Colombier,Fribourg,CGAB Genève,CAB la Chaux,ALB Lausanne,Luzern,CBP Plainpalais,St. Gallen,Sierre,Winterthur,Zürich"</formula1>
    </dataValidation>
  </dataValidations>
  <printOptions horizontalCentered="1" verticalCentered="1"/>
  <pageMargins left="0.5118110236220472" right="0.5118110236220472" top="0.07874015748031496" bottom="0.6692913385826772" header="0.5118110236220472" footer="0.2362204724409449"/>
  <pageSetup firstPageNumber="1" useFirstPageNumber="1"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codeName="Tabelle5"/>
  <dimension ref="A1:CI85"/>
  <sheetViews>
    <sheetView showGridLines="0" zoomScalePageLayoutView="0" workbookViewId="0" topLeftCell="C1">
      <selection activeCell="AC20" sqref="AC20"/>
    </sheetView>
  </sheetViews>
  <sheetFormatPr defaultColWidth="11.421875" defaultRowHeight="12.75"/>
  <cols>
    <col min="1" max="1" width="2.57421875" style="285" customWidth="1"/>
    <col min="2" max="5" width="4.7109375" style="285" customWidth="1"/>
    <col min="6" max="6" width="4.7109375" style="284" customWidth="1"/>
    <col min="7" max="9" width="4.7109375" style="285" customWidth="1"/>
    <col min="10" max="10" width="5.7109375" style="285" customWidth="1"/>
    <col min="11" max="18" width="4.7109375" style="285" customWidth="1"/>
    <col min="19" max="19" width="5.7109375" style="285" customWidth="1"/>
    <col min="20" max="22" width="4.7109375" style="285" customWidth="1"/>
    <col min="23" max="23" width="6.7109375" style="285" customWidth="1"/>
    <col min="24" max="31" width="4.7109375" style="285" customWidth="1"/>
    <col min="32" max="32" width="5.8515625" style="285" customWidth="1"/>
    <col min="33" max="33" width="5.7109375" style="285" customWidth="1"/>
    <col min="34" max="38" width="4.7109375" style="285" customWidth="1"/>
    <col min="39" max="39" width="11.421875" style="285" customWidth="1"/>
    <col min="40" max="40" width="12.00390625" style="285" customWidth="1"/>
    <col min="41" max="41" width="12.8515625" style="285" customWidth="1"/>
    <col min="42" max="42" width="13.8515625" style="285" customWidth="1"/>
    <col min="43" max="46" width="5.7109375" style="285" customWidth="1"/>
    <col min="47" max="47" width="12.421875" style="285" customWidth="1"/>
    <col min="48" max="55" width="3.7109375" style="285" customWidth="1"/>
    <col min="56" max="56" width="4.7109375" style="285" customWidth="1"/>
    <col min="57" max="65" width="3.7109375" style="285" customWidth="1"/>
    <col min="66" max="66" width="4.28125" style="285" customWidth="1"/>
    <col min="67" max="67" width="7.421875" style="285" customWidth="1"/>
    <col min="68" max="69" width="4.140625" style="285" customWidth="1"/>
    <col min="70" max="70" width="8.57421875" style="285" customWidth="1"/>
    <col min="71" max="71" width="3.8515625" style="285" customWidth="1"/>
    <col min="72" max="84" width="5.7109375" style="285" customWidth="1"/>
    <col min="85" max="86" width="11.421875" style="285" customWidth="1"/>
    <col min="87" max="94" width="3.28125" style="285" customWidth="1"/>
    <col min="95" max="95" width="11.421875" style="285" customWidth="1"/>
    <col min="96" max="102" width="3.140625" style="285" customWidth="1"/>
    <col min="103" max="103" width="3.57421875" style="285" customWidth="1"/>
    <col min="104" max="104" width="3.8515625" style="285" customWidth="1"/>
    <col min="105" max="16384" width="11.421875" style="285" customWidth="1"/>
  </cols>
  <sheetData>
    <row r="1" ht="19.5" customHeight="1">
      <c r="P1" s="284" t="s">
        <v>294</v>
      </c>
    </row>
    <row r="2" spans="3:85" ht="15.75" thickBot="1">
      <c r="C2" s="284" t="s">
        <v>177</v>
      </c>
      <c r="F2" s="285"/>
      <c r="V2" s="318"/>
      <c r="W2" s="318"/>
      <c r="X2" s="319" t="s">
        <v>178</v>
      </c>
      <c r="Y2" s="318"/>
      <c r="Z2" s="318"/>
      <c r="AA2" s="318"/>
      <c r="AB2" s="318"/>
      <c r="AC2" s="318"/>
      <c r="AD2" s="318"/>
      <c r="AE2" s="318"/>
      <c r="AF2" s="318"/>
      <c r="AG2" s="318"/>
      <c r="AL2" s="284" t="s">
        <v>185</v>
      </c>
      <c r="AO2" s="284" t="s">
        <v>194</v>
      </c>
      <c r="AP2" s="373"/>
      <c r="BK2" s="284" t="s">
        <v>291</v>
      </c>
      <c r="CG2" s="484"/>
    </row>
    <row r="3" spans="1:87" ht="15.75" thickBot="1">
      <c r="A3" s="318"/>
      <c r="C3" s="284"/>
      <c r="F3" s="285"/>
      <c r="K3" s="353">
        <v>1</v>
      </c>
      <c r="L3" s="291">
        <v>2</v>
      </c>
      <c r="M3" s="291">
        <v>3</v>
      </c>
      <c r="N3" s="291">
        <v>4</v>
      </c>
      <c r="O3" s="291">
        <v>5</v>
      </c>
      <c r="P3" s="291">
        <v>6</v>
      </c>
      <c r="Q3" s="292">
        <v>7</v>
      </c>
      <c r="T3" s="284"/>
      <c r="V3" s="318"/>
      <c r="W3" s="318"/>
      <c r="X3" s="318"/>
      <c r="Y3" s="318"/>
      <c r="Z3" s="318"/>
      <c r="AA3" s="318"/>
      <c r="AB3" s="318"/>
      <c r="AC3" s="318"/>
      <c r="AD3" s="318"/>
      <c r="AE3" s="318"/>
      <c r="AF3" s="318"/>
      <c r="AG3" s="318"/>
      <c r="AI3" s="329"/>
      <c r="AJ3" s="330"/>
      <c r="AK3" s="330"/>
      <c r="AL3" s="330"/>
      <c r="AM3" s="330"/>
      <c r="AN3" s="330"/>
      <c r="AO3" s="488"/>
      <c r="AP3" s="488"/>
      <c r="AQ3" s="489" t="s">
        <v>195</v>
      </c>
      <c r="AR3" s="399"/>
      <c r="AS3" s="318"/>
      <c r="AT3" s="329"/>
      <c r="AU3" s="333" t="s">
        <v>273</v>
      </c>
      <c r="AV3" s="333" t="s">
        <v>293</v>
      </c>
      <c r="AW3" s="333" t="s">
        <v>292</v>
      </c>
      <c r="AX3" s="333"/>
      <c r="AY3" s="333"/>
      <c r="AZ3" s="333"/>
      <c r="BA3" s="333"/>
      <c r="BB3" s="489"/>
      <c r="BC3" s="489"/>
      <c r="BD3" s="489"/>
      <c r="BE3" s="333" t="s">
        <v>293</v>
      </c>
      <c r="BF3" s="333" t="s">
        <v>292</v>
      </c>
      <c r="BG3" s="333"/>
      <c r="BH3" s="333"/>
      <c r="BI3" s="333"/>
      <c r="BJ3" s="333"/>
      <c r="BK3" s="333"/>
      <c r="BL3" s="333"/>
      <c r="BM3" s="333" t="s">
        <v>197</v>
      </c>
      <c r="BN3" s="489"/>
      <c r="BO3" s="333" t="s">
        <v>254</v>
      </c>
      <c r="BP3" s="333" t="s">
        <v>197</v>
      </c>
      <c r="BQ3" s="489"/>
      <c r="BR3" s="598" t="s">
        <v>274</v>
      </c>
      <c r="BS3" s="599"/>
      <c r="BU3" s="948" t="s">
        <v>174</v>
      </c>
      <c r="BV3" s="949"/>
      <c r="BW3" s="949"/>
      <c r="BX3" s="949"/>
      <c r="BY3" s="950"/>
      <c r="BZ3" s="948" t="s">
        <v>176</v>
      </c>
      <c r="CA3" s="949"/>
      <c r="CB3" s="949"/>
      <c r="CC3" s="949"/>
      <c r="CD3" s="949"/>
      <c r="CE3" s="949"/>
      <c r="CF3" s="950"/>
      <c r="CI3" s="620"/>
    </row>
    <row r="4" spans="1:84" s="284" customFormat="1" ht="15.75" thickBot="1">
      <c r="A4" s="318"/>
      <c r="C4" s="286"/>
      <c r="D4" s="287">
        <v>1</v>
      </c>
      <c r="E4" s="288">
        <v>2</v>
      </c>
      <c r="F4" s="288">
        <v>3</v>
      </c>
      <c r="G4" s="288">
        <v>4</v>
      </c>
      <c r="H4" s="288">
        <v>5</v>
      </c>
      <c r="I4" s="289">
        <v>6</v>
      </c>
      <c r="J4" s="366" t="s">
        <v>2</v>
      </c>
      <c r="K4" s="367" t="s">
        <v>5</v>
      </c>
      <c r="L4" s="367" t="s">
        <v>179</v>
      </c>
      <c r="M4" s="367" t="s">
        <v>180</v>
      </c>
      <c r="N4" s="367" t="s">
        <v>181</v>
      </c>
      <c r="O4" s="368" t="s">
        <v>188</v>
      </c>
      <c r="P4" s="368" t="s">
        <v>189</v>
      </c>
      <c r="Q4" s="369" t="s">
        <v>190</v>
      </c>
      <c r="R4" s="354" t="s">
        <v>36</v>
      </c>
      <c r="S4" s="682" t="s">
        <v>319</v>
      </c>
      <c r="V4" s="319"/>
      <c r="W4" s="319"/>
      <c r="X4" s="286"/>
      <c r="Y4" s="290">
        <v>1</v>
      </c>
      <c r="Z4" s="291">
        <v>2</v>
      </c>
      <c r="AA4" s="291">
        <v>3</v>
      </c>
      <c r="AB4" s="291">
        <v>4</v>
      </c>
      <c r="AC4" s="291">
        <v>5</v>
      </c>
      <c r="AD4" s="291">
        <v>6</v>
      </c>
      <c r="AE4" s="408" t="s">
        <v>182</v>
      </c>
      <c r="AF4" s="319"/>
      <c r="AG4" s="319"/>
      <c r="AI4" s="487"/>
      <c r="AJ4" s="319"/>
      <c r="AK4" s="319"/>
      <c r="AL4" s="358">
        <v>1</v>
      </c>
      <c r="AM4" s="363">
        <f aca="true" t="shared" si="0" ref="AM4:AM9">AQ79+RANK(K5,$K$5:$K$10,0)*10^-K$3+RANK(L5,$L$5:$L$10)*10^-$L$3+RANK(M5,$M$5:$M$10)*10^-$M$3+RANK(N5,$N$5:$N$10)*10^-$N$3+RANK(O5,$O$5:$O$10)*10^-$O$3+RANK(P5,$P$5:$P$10)*10^-$P$3+RANK(Q5,$Q$5:$Q$10)*10^-$Q$3</f>
        <v>1.1111111</v>
      </c>
      <c r="AN4" s="319"/>
      <c r="AO4" s="358">
        <v>1</v>
      </c>
      <c r="AP4" s="374">
        <f aca="true" t="shared" si="1" ref="AP4:AP9">RANK(K5,$K$5:$K$10,0)*10^-K$3+RANK(L5,$L$5:$L$10)*10^-$L$3+RANK(M5,$M$5:$M$10)*10^-$M$3+RANK(N5,$N$5:$N$10)*10^-$N$3+RANK(O5,$O$5:$O$10)*10^-$O$3+RANK(P5,$P$5:$P$10)*10^-$P$3+RANK(Q5,$Q$5:$Q$10)*10^-$Q$3</f>
        <v>0.1111111</v>
      </c>
      <c r="AQ4" s="490">
        <f aca="true" t="shared" si="2" ref="AQ4:AQ9">RANK(AP4,AP$4:AP$9,1)</f>
        <v>1</v>
      </c>
      <c r="AR4" s="338"/>
      <c r="AS4" s="319"/>
      <c r="AT4" s="487"/>
      <c r="AU4" s="358">
        <f aca="true" t="shared" si="3" ref="AU4:AU9">AP4+AO4/100000000</f>
        <v>0.11111111</v>
      </c>
      <c r="AV4" s="362">
        <v>1</v>
      </c>
      <c r="AW4" s="607">
        <f>RANK(BZ6,BZ$6:BZ$11,0)</f>
        <v>1</v>
      </c>
      <c r="AX4" s="602">
        <f aca="true" t="shared" si="4" ref="AW4:BC9">RANK(CA6,CA$6:CA$11,0)</f>
        <v>1</v>
      </c>
      <c r="AY4" s="602">
        <f t="shared" si="4"/>
        <v>1</v>
      </c>
      <c r="AZ4" s="602">
        <f t="shared" si="4"/>
        <v>1</v>
      </c>
      <c r="BA4" s="602">
        <f t="shared" si="4"/>
        <v>1</v>
      </c>
      <c r="BB4" s="602">
        <f t="shared" si="4"/>
        <v>1</v>
      </c>
      <c r="BC4" s="603">
        <f t="shared" si="4"/>
        <v>1</v>
      </c>
      <c r="BD4" s="319"/>
      <c r="BE4" s="358">
        <f>VLOOKUP(SMALL($AU$4:$AU$9,1),$AU$4:$BC$9,2,0)</f>
        <v>1</v>
      </c>
      <c r="BF4" s="601">
        <f>VLOOKUP(SMALL($AU$4:$AU$9,1),$AU$4:$BC$9,3,0)</f>
        <v>1</v>
      </c>
      <c r="BG4" s="602">
        <f>VLOOKUP(SMALL($AU$4:$AU$9,1),$AU$4:$BC$9,4,0)</f>
        <v>1</v>
      </c>
      <c r="BH4" s="602">
        <f>VLOOKUP(SMALL($AU$4:$AU$9,1),$AU$4:$BC$9,5,0)</f>
        <v>1</v>
      </c>
      <c r="BI4" s="602">
        <f>VLOOKUP(SMALL($AU$4:$AU$9,1),$AU$4:$BC$9,6,0)</f>
        <v>1</v>
      </c>
      <c r="BJ4" s="602">
        <f>VLOOKUP(SMALL($AU$4:$AU$9,1),$AU$4:$BC$9,7,0)</f>
        <v>1</v>
      </c>
      <c r="BK4" s="602">
        <f>VLOOKUP(SMALL($AU$4:$AU$9,1),$AU$4:$BC$9,8,0)</f>
        <v>1</v>
      </c>
      <c r="BL4" s="610">
        <f>VLOOKUP(SMALL($AU$4:$AU$9,1),$AU$4:$BC$9,9,0)</f>
        <v>1</v>
      </c>
      <c r="BM4" s="362">
        <f>IF(BF4&lt;BF5,1,IF(BG4&lt;BG5,2,IF(BH4&lt;BH5,3,IF(BI4&lt;BI5,4,IF(BJ4&lt;BJ5,5,IF(BK4&lt;BK5,6,IF(BL4&lt;BL5,7,8)))))))</f>
        <v>8</v>
      </c>
      <c r="BN4" s="595"/>
      <c r="BO4" s="613">
        <f>VLOOKUP(SMALL($BE$4:$BE$9,1),$BE$4:$BM$9,1,0)</f>
        <v>1</v>
      </c>
      <c r="BP4" s="614">
        <f>VLOOKUP(SMALL($BE$4:$BE$9,1),$BE$4:$BM$9,9,0)</f>
        <v>8</v>
      </c>
      <c r="BQ4" s="595"/>
      <c r="BR4" s="320">
        <f>IF(D18&gt;0,0,"")</f>
      </c>
      <c r="BS4" s="395"/>
      <c r="BU4" s="959" t="s">
        <v>6</v>
      </c>
      <c r="BV4" s="960"/>
      <c r="BW4" s="960"/>
      <c r="BX4" s="960"/>
      <c r="BY4" s="960"/>
      <c r="BZ4" s="514" t="s">
        <v>5</v>
      </c>
      <c r="CA4" s="961" t="s">
        <v>6</v>
      </c>
      <c r="CB4" s="962"/>
      <c r="CC4" s="962"/>
      <c r="CD4" s="962"/>
      <c r="CE4" s="963"/>
      <c r="CF4" s="514" t="s">
        <v>175</v>
      </c>
    </row>
    <row r="5" spans="1:84" ht="15.75" thickBot="1">
      <c r="A5" s="318"/>
      <c r="C5" s="294">
        <v>1</v>
      </c>
      <c r="D5" s="295"/>
      <c r="E5" s="296">
        <f>IF(ISNUMBER(calculations!G5),calculations!G5,0)</f>
        <v>0</v>
      </c>
      <c r="F5" s="296">
        <f>IF(ISNUMBER(calculations!L5),calculations!L5,0)</f>
        <v>0</v>
      </c>
      <c r="G5" s="296">
        <f>IF(ISNUMBER(calculations!Q5),calculations!Q5,0)</f>
        <v>0</v>
      </c>
      <c r="H5" s="296">
        <f>IF(ISNUMBER(calculations!V5),calculations!V5,0)</f>
        <v>0</v>
      </c>
      <c r="I5" s="297">
        <f>IF(ISNUMBER(calculations!AA5),calculations!AA5,0)</f>
        <v>0</v>
      </c>
      <c r="J5" s="355">
        <f>E5+F5+G5+H5+I5</f>
        <v>0</v>
      </c>
      <c r="K5" s="350">
        <f>calculations!$AO$5</f>
        <v>0</v>
      </c>
      <c r="L5" s="350">
        <f>rangs!CA6</f>
        <v>0</v>
      </c>
      <c r="M5" s="350">
        <f>rangs!CB6</f>
        <v>0</v>
      </c>
      <c r="N5" s="350">
        <f>rangs!CC6</f>
        <v>0</v>
      </c>
      <c r="O5" s="350">
        <f>rangs!CD6</f>
        <v>0</v>
      </c>
      <c r="P5" s="350">
        <f>rangs!CE6</f>
        <v>0</v>
      </c>
      <c r="Q5" s="370">
        <f>rangs!CF6</f>
        <v>0</v>
      </c>
      <c r="R5" s="419">
        <f aca="true" t="shared" si="5" ref="R5:R10">RANK(AM4,AM$4:AM$9,1)</f>
        <v>1</v>
      </c>
      <c r="S5" s="681">
        <f>AQ18</f>
        <v>1</v>
      </c>
      <c r="V5" s="318"/>
      <c r="W5" s="318"/>
      <c r="X5" s="298">
        <v>1</v>
      </c>
      <c r="Y5" s="299"/>
      <c r="Z5" s="300">
        <f>IF(AND(J5=J6,E5&gt;D6),0.1,0)</f>
        <v>0</v>
      </c>
      <c r="AA5" s="300">
        <f>IF(AND(J5=J7,F5&gt;D7),0.1,0)</f>
        <v>0</v>
      </c>
      <c r="AB5" s="300">
        <f>IF(AND(J5=J8,G5&gt;D8),0.1,0)</f>
        <v>0</v>
      </c>
      <c r="AC5" s="300">
        <f>IF(AND(J5=J9,H5&gt;D9),0.1,0)</f>
        <v>0</v>
      </c>
      <c r="AD5" s="300">
        <f>IF(AND(J5=J10,I5&gt;D10),0.1,0)</f>
        <v>0</v>
      </c>
      <c r="AE5" s="301">
        <f>Z5+AA5+AB5+AC5+AD5</f>
        <v>0</v>
      </c>
      <c r="AF5" s="318"/>
      <c r="AG5" s="318"/>
      <c r="AI5" s="335"/>
      <c r="AJ5" s="318"/>
      <c r="AK5" s="318"/>
      <c r="AL5" s="302">
        <v>2</v>
      </c>
      <c r="AM5" s="364">
        <f t="shared" si="0"/>
        <v>1.1111111</v>
      </c>
      <c r="AN5" s="318"/>
      <c r="AO5" s="302">
        <v>2</v>
      </c>
      <c r="AP5" s="375">
        <f t="shared" si="1"/>
        <v>0.1111111</v>
      </c>
      <c r="AQ5" s="490">
        <f t="shared" si="2"/>
        <v>1</v>
      </c>
      <c r="AR5" s="395"/>
      <c r="AS5" s="318"/>
      <c r="AT5" s="335"/>
      <c r="AU5" s="302">
        <f t="shared" si="3"/>
        <v>0.11111112000000001</v>
      </c>
      <c r="AV5" s="308">
        <v>2</v>
      </c>
      <c r="AW5" s="608">
        <f t="shared" si="4"/>
        <v>1</v>
      </c>
      <c r="AX5" s="594">
        <f t="shared" si="4"/>
        <v>1</v>
      </c>
      <c r="AY5" s="594">
        <f t="shared" si="4"/>
        <v>1</v>
      </c>
      <c r="AZ5" s="594">
        <f t="shared" si="4"/>
        <v>1</v>
      </c>
      <c r="BA5" s="594">
        <f t="shared" si="4"/>
        <v>1</v>
      </c>
      <c r="BB5" s="594">
        <f t="shared" si="4"/>
        <v>1</v>
      </c>
      <c r="BC5" s="307">
        <f t="shared" si="4"/>
        <v>1</v>
      </c>
      <c r="BD5" s="318"/>
      <c r="BE5" s="302">
        <f>VLOOKUP(SMALL($AU$4:$AU$9,2),$AU$4:$BC$9,2,0)</f>
        <v>2</v>
      </c>
      <c r="BF5" s="604">
        <f>VLOOKUP(SMALL($AU$4:$AU$9,2),$AU$4:$BC$9,3,0)</f>
        <v>1</v>
      </c>
      <c r="BG5" s="594">
        <f>VLOOKUP(SMALL($AU$4:$AU$9,2),$AU$4:$BC$9,4,0)</f>
        <v>1</v>
      </c>
      <c r="BH5" s="594">
        <f>VLOOKUP(SMALL($AU$4:$AU$9,2),$AU$4:$BC$9,5,0)</f>
        <v>1</v>
      </c>
      <c r="BI5" s="594">
        <f>VLOOKUP(SMALL($AU$4:$AU$9,2),$AU$4:$BC$9,6,0)</f>
        <v>1</v>
      </c>
      <c r="BJ5" s="594">
        <f>VLOOKUP(SMALL($AU$4:$AU$9,2),$AU$4:$BC$9,7,0)</f>
        <v>1</v>
      </c>
      <c r="BK5" s="594">
        <f>VLOOKUP(SMALL($AU$4:$AU$9,2),$AU$4:$BC$9,8,0)</f>
        <v>1</v>
      </c>
      <c r="BL5" s="611">
        <f>VLOOKUP(SMALL($AU$4:$AU$9,2),$AU$4:$BC$9,9,0)</f>
        <v>1</v>
      </c>
      <c r="BM5" s="308">
        <f>IF(BF5&lt;BF6,1,IF(BG5&lt;BG6,2,IF(BH5&lt;BH6,3,IF(BI5&lt;BI6,4,IF(BJ5&lt;BJ6,5,IF(BK5&lt;BK6,6,IF(BL5&lt;BL6,7,8)))))))</f>
        <v>8</v>
      </c>
      <c r="BN5" s="595"/>
      <c r="BO5" s="615">
        <f>VLOOKUP(SMALL($BE$4:$BE$9,2),$BE$4:$BM$9,1,0)</f>
        <v>2</v>
      </c>
      <c r="BP5" s="616">
        <f>VLOOKUP(SMALL($BE$4:$BE$9,2),$BE$4:$BM$9,9,0)</f>
        <v>8</v>
      </c>
      <c r="BQ5" s="595"/>
      <c r="BR5" s="322">
        <f>IF(G18&gt;0,0,"")</f>
      </c>
      <c r="BS5" s="395"/>
      <c r="BU5" s="491"/>
      <c r="BV5" s="492"/>
      <c r="BW5" s="492"/>
      <c r="BX5" s="492"/>
      <c r="BY5" s="492"/>
      <c r="BZ5" s="515">
        <v>1</v>
      </c>
      <c r="CA5" s="511">
        <f aca="true" t="shared" si="6" ref="CA5:CF5">BZ5+1</f>
        <v>2</v>
      </c>
      <c r="CB5" s="512">
        <f t="shared" si="6"/>
        <v>3</v>
      </c>
      <c r="CC5" s="512">
        <f t="shared" si="6"/>
        <v>4</v>
      </c>
      <c r="CD5" s="512">
        <f t="shared" si="6"/>
        <v>5</v>
      </c>
      <c r="CE5" s="512">
        <f t="shared" si="6"/>
        <v>6</v>
      </c>
      <c r="CF5" s="513">
        <f t="shared" si="6"/>
        <v>7</v>
      </c>
    </row>
    <row r="6" spans="3:84" ht="15">
      <c r="C6" s="302">
        <v>2</v>
      </c>
      <c r="D6" s="303">
        <f>IF(ISNUMBER(calculations!G6),calculations!G6,0)</f>
        <v>0</v>
      </c>
      <c r="E6" s="304"/>
      <c r="F6" s="305">
        <f>IF(ISNUMBER(calculations!G9),calculations!G9,0)</f>
        <v>0</v>
      </c>
      <c r="G6" s="305">
        <f>IF(ISNUMBER(calculations!L9),calculations!L9,0)</f>
        <v>0</v>
      </c>
      <c r="H6" s="305">
        <f>IF(ISNUMBER(calculations!Q9),calculations!Q9,0)</f>
        <v>0</v>
      </c>
      <c r="I6" s="306">
        <f>IF(ISNUMBER(calculations!V9),calculations!V9,0)</f>
        <v>0</v>
      </c>
      <c r="J6" s="356">
        <f>D6+F6+G6+H6+I6</f>
        <v>0</v>
      </c>
      <c r="K6" s="351">
        <f>calculations!$AO$9</f>
        <v>0</v>
      </c>
      <c r="L6" s="351">
        <f>rangs!CA7</f>
        <v>0</v>
      </c>
      <c r="M6" s="351">
        <f>rangs!CB7</f>
        <v>0</v>
      </c>
      <c r="N6" s="351">
        <f>rangs!CC7</f>
        <v>0</v>
      </c>
      <c r="O6" s="351">
        <f>rangs!CD7</f>
        <v>0</v>
      </c>
      <c r="P6" s="351">
        <f>rangs!CE7</f>
        <v>0</v>
      </c>
      <c r="Q6" s="371">
        <f>rangs!CF7</f>
        <v>0</v>
      </c>
      <c r="R6" s="420">
        <f t="shared" si="5"/>
        <v>1</v>
      </c>
      <c r="S6" s="681">
        <f>AQ19</f>
        <v>1</v>
      </c>
      <c r="V6" s="318"/>
      <c r="W6" s="318"/>
      <c r="X6" s="308">
        <v>2</v>
      </c>
      <c r="Y6" s="309">
        <f>IF(AND(J6=J5,D6&gt;E5),0.1,0)</f>
        <v>0</v>
      </c>
      <c r="Z6" s="304"/>
      <c r="AA6" s="305">
        <f>IF(AND(J6=J7,F6&gt;E7),0.1,0)</f>
        <v>0</v>
      </c>
      <c r="AB6" s="305">
        <f>IF(AND(J6=J8,G6&gt;E8),0.1,0)</f>
        <v>0</v>
      </c>
      <c r="AC6" s="305">
        <f>IF(AND(J6=J9,H6&gt;E9),0.1,0)</f>
        <v>0</v>
      </c>
      <c r="AD6" s="305">
        <f>IF(AND(J6=J10,I6&gt;E10),0.1,0)</f>
        <v>0</v>
      </c>
      <c r="AE6" s="307">
        <f>Y6+AA6+AB6+AC6+AD6</f>
        <v>0</v>
      </c>
      <c r="AF6" s="318"/>
      <c r="AG6" s="318"/>
      <c r="AI6" s="335"/>
      <c r="AJ6" s="318"/>
      <c r="AK6" s="318"/>
      <c r="AL6" s="302">
        <v>3</v>
      </c>
      <c r="AM6" s="364">
        <f t="shared" si="0"/>
        <v>1.1111111</v>
      </c>
      <c r="AN6" s="318"/>
      <c r="AO6" s="302">
        <v>3</v>
      </c>
      <c r="AP6" s="375">
        <f t="shared" si="1"/>
        <v>0.1111111</v>
      </c>
      <c r="AQ6" s="490">
        <f t="shared" si="2"/>
        <v>1</v>
      </c>
      <c r="AR6" s="395"/>
      <c r="AS6" s="318"/>
      <c r="AT6" s="335"/>
      <c r="AU6" s="302">
        <f t="shared" si="3"/>
        <v>0.11111113</v>
      </c>
      <c r="AV6" s="308">
        <v>3</v>
      </c>
      <c r="AW6" s="608">
        <f t="shared" si="4"/>
        <v>1</v>
      </c>
      <c r="AX6" s="594">
        <f t="shared" si="4"/>
        <v>1</v>
      </c>
      <c r="AY6" s="594">
        <f t="shared" si="4"/>
        <v>1</v>
      </c>
      <c r="AZ6" s="594">
        <f t="shared" si="4"/>
        <v>1</v>
      </c>
      <c r="BA6" s="594">
        <f t="shared" si="4"/>
        <v>1</v>
      </c>
      <c r="BB6" s="594">
        <f t="shared" si="4"/>
        <v>1</v>
      </c>
      <c r="BC6" s="307">
        <f t="shared" si="4"/>
        <v>1</v>
      </c>
      <c r="BD6" s="318"/>
      <c r="BE6" s="302">
        <f>VLOOKUP(SMALL($AU$4:$AU$9,3),$AU$4:$BC$9,2,0)</f>
        <v>3</v>
      </c>
      <c r="BF6" s="604">
        <f>VLOOKUP(SMALL($AU$4:$AU$9,3),$AU$4:$BC$9,3,0)</f>
        <v>1</v>
      </c>
      <c r="BG6" s="594">
        <f>VLOOKUP(SMALL($AU$4:$AU$9,3),$AU$4:$BC$9,4,0)</f>
        <v>1</v>
      </c>
      <c r="BH6" s="594">
        <f>VLOOKUP(SMALL($AU$4:$AU$9,3),$AU$4:$BC$9,5,0)</f>
        <v>1</v>
      </c>
      <c r="BI6" s="594">
        <f>VLOOKUP(SMALL($AU$4:$AU$9,3),$AU$4:$BC$9,6,0)</f>
        <v>1</v>
      </c>
      <c r="BJ6" s="594">
        <f>VLOOKUP(SMALL($AU$4:$AU$9,3),$AU$4:$BC$9,7,0)</f>
        <v>1</v>
      </c>
      <c r="BK6" s="594">
        <f>VLOOKUP(SMALL($AU$4:$AU$9,3),$AU$4:$BC$9,8,0)</f>
        <v>1</v>
      </c>
      <c r="BL6" s="611">
        <f>VLOOKUP(SMALL($AU$4:$AU$9,3),$AU$4:$BC$9,9,0)</f>
        <v>1</v>
      </c>
      <c r="BM6" s="308">
        <f>IF(BF6&lt;BF7,1,IF(BG6&lt;BG7,2,IF(BH6&lt;BH7,3,IF(BI6&lt;BI7,4,IF(BJ6&lt;BJ7,5,IF(BK6&lt;BK7,6,IF(BL6&lt;BL7,7,8)))))))</f>
        <v>8</v>
      </c>
      <c r="BN6" s="595"/>
      <c r="BO6" s="615">
        <f>VLOOKUP(SMALL($BE$4:$BE$9,3),$BE$4:$BM$9,1,0)</f>
        <v>3</v>
      </c>
      <c r="BP6" s="616">
        <f>VLOOKUP(SMALL($BE$4:$BE$9,3),$BE$4:$BM$9,9,0)</f>
        <v>8</v>
      </c>
      <c r="BQ6" s="595"/>
      <c r="BR6" s="322">
        <f>IF(J18&gt;0,0,"")</f>
      </c>
      <c r="BS6" s="395"/>
      <c r="BU6" s="497">
        <f>IF(OR(calculations!$G$5=1,calculations!$G$5=2),calculations!$F$5,0)</f>
        <v>0</v>
      </c>
      <c r="BV6" s="498">
        <f>IF(OR(calculations!$L$5=1,calculations!$L$5=2),calculations!$K$5,0)</f>
        <v>0</v>
      </c>
      <c r="BW6" s="498">
        <f>IF(OR(calculations!$Q$5=1,calculations!$Q$5=2),calculations!$P$5,0)</f>
        <v>0</v>
      </c>
      <c r="BX6" s="498">
        <f>IF(OR(calculations!$V$5=1,calculations!$V$5=2),calculations!$U$5,0)</f>
        <v>0</v>
      </c>
      <c r="BY6" s="503">
        <f>IF(OR(calculations!$AA$5=1,calculations!$AA$5=2),calculations!$Z$5,0)</f>
        <v>0</v>
      </c>
      <c r="BZ6" s="509">
        <f>calculations!$AO$5</f>
        <v>0</v>
      </c>
      <c r="CA6" s="507">
        <f aca="true" t="shared" si="7" ref="CA6:CE11">LARGE($BU6:$BY6,CA$5-1)</f>
        <v>0</v>
      </c>
      <c r="CB6" s="498">
        <f t="shared" si="7"/>
        <v>0</v>
      </c>
      <c r="CC6" s="498">
        <f t="shared" si="7"/>
        <v>0</v>
      </c>
      <c r="CD6" s="498">
        <f t="shared" si="7"/>
        <v>0</v>
      </c>
      <c r="CE6" s="498">
        <f t="shared" si="7"/>
        <v>0</v>
      </c>
      <c r="CF6" s="499">
        <f>calculations!AQ5</f>
        <v>0</v>
      </c>
    </row>
    <row r="7" spans="3:84" ht="15">
      <c r="C7" s="302">
        <v>3</v>
      </c>
      <c r="D7" s="303">
        <f>IF(ISNUMBER(calculations!L6),calculations!L6,0)</f>
        <v>0</v>
      </c>
      <c r="E7" s="305">
        <f>IF(ISNUMBER(calculations!G10),calculations!G10,0)</f>
        <v>0</v>
      </c>
      <c r="F7" s="304"/>
      <c r="G7" s="305">
        <f>IF(ISNUMBER(calculations!G13),calculations!G13,0)</f>
        <v>0</v>
      </c>
      <c r="H7" s="305">
        <f>IF(ISNUMBER(calculations!L13),calculations!L13,0)</f>
        <v>0</v>
      </c>
      <c r="I7" s="306">
        <f>IF(ISNUMBER(calculations!Q13),calculations!Q13,0)</f>
        <v>0</v>
      </c>
      <c r="J7" s="356">
        <f>D7+E7+G7+H7+I7</f>
        <v>0</v>
      </c>
      <c r="K7" s="351">
        <f>calculations!$AO$13</f>
        <v>0</v>
      </c>
      <c r="L7" s="351">
        <f>rangs!CA8</f>
        <v>0</v>
      </c>
      <c r="M7" s="351">
        <f>rangs!CB8</f>
        <v>0</v>
      </c>
      <c r="N7" s="351">
        <f>rangs!CC8</f>
        <v>0</v>
      </c>
      <c r="O7" s="351">
        <f>rangs!CD8</f>
        <v>0</v>
      </c>
      <c r="P7" s="351">
        <f>rangs!CE8</f>
        <v>0</v>
      </c>
      <c r="Q7" s="371">
        <f>rangs!CF8</f>
        <v>0</v>
      </c>
      <c r="R7" s="420">
        <f t="shared" si="5"/>
        <v>1</v>
      </c>
      <c r="S7" s="681">
        <f>AQ20</f>
        <v>1</v>
      </c>
      <c r="V7" s="318"/>
      <c r="W7" s="318"/>
      <c r="X7" s="308">
        <v>3</v>
      </c>
      <c r="Y7" s="309">
        <f>IF(AND(J7=J5,D7&gt;F5),0.1,0)</f>
        <v>0</v>
      </c>
      <c r="Z7" s="305">
        <f>IF(AND(J7=J6,E7&gt;F6),0.1,0)</f>
        <v>0</v>
      </c>
      <c r="AA7" s="304"/>
      <c r="AB7" s="305">
        <f>IF(AND(J7=J8,G7&gt;F8),0.1,0)</f>
        <v>0</v>
      </c>
      <c r="AC7" s="305">
        <f>IF(AND(J7=J9,H7&gt;F9),0.1,0)</f>
        <v>0</v>
      </c>
      <c r="AD7" s="305">
        <f>IF(AND(J7=J10,I7&gt;F10),0.1,0)</f>
        <v>0</v>
      </c>
      <c r="AE7" s="307">
        <f>Y7+Z7+AB7+AC7+AD7</f>
        <v>0</v>
      </c>
      <c r="AF7" s="318"/>
      <c r="AG7" s="318"/>
      <c r="AI7" s="335"/>
      <c r="AJ7" s="318"/>
      <c r="AK7" s="318"/>
      <c r="AL7" s="359">
        <v>4</v>
      </c>
      <c r="AM7" s="364">
        <f t="shared" si="0"/>
        <v>1.1111111</v>
      </c>
      <c r="AN7" s="318"/>
      <c r="AO7" s="359">
        <v>4</v>
      </c>
      <c r="AP7" s="375">
        <f t="shared" si="1"/>
        <v>0.1111111</v>
      </c>
      <c r="AQ7" s="490">
        <f t="shared" si="2"/>
        <v>1</v>
      </c>
      <c r="AR7" s="395"/>
      <c r="AS7" s="318"/>
      <c r="AT7" s="335"/>
      <c r="AU7" s="302">
        <f t="shared" si="3"/>
        <v>0.11111114000000001</v>
      </c>
      <c r="AV7" s="308">
        <v>4</v>
      </c>
      <c r="AW7" s="608">
        <f t="shared" si="4"/>
        <v>1</v>
      </c>
      <c r="AX7" s="594">
        <f t="shared" si="4"/>
        <v>1</v>
      </c>
      <c r="AY7" s="594">
        <f t="shared" si="4"/>
        <v>1</v>
      </c>
      <c r="AZ7" s="594">
        <f t="shared" si="4"/>
        <v>1</v>
      </c>
      <c r="BA7" s="594">
        <f t="shared" si="4"/>
        <v>1</v>
      </c>
      <c r="BB7" s="594">
        <f t="shared" si="4"/>
        <v>1</v>
      </c>
      <c r="BC7" s="307">
        <f t="shared" si="4"/>
        <v>1</v>
      </c>
      <c r="BD7" s="318"/>
      <c r="BE7" s="302">
        <f>VLOOKUP(SMALL($AU$4:$AU$9,4),$AU$4:$BC$9,2,0)</f>
        <v>4</v>
      </c>
      <c r="BF7" s="604">
        <f>VLOOKUP(SMALL($AU$4:$AU$9,4),$AU$4:$BC$9,3,0)</f>
        <v>1</v>
      </c>
      <c r="BG7" s="594">
        <f>VLOOKUP(SMALL($AU$4:$AU$9,4),$AU$4:$BC$9,4,0)</f>
        <v>1</v>
      </c>
      <c r="BH7" s="594">
        <f>VLOOKUP(SMALL($AU$4:$AU$9,4),$AU$4:$BC$9,5,0)</f>
        <v>1</v>
      </c>
      <c r="BI7" s="594">
        <f>VLOOKUP(SMALL($AU$4:$AU$9,4),$AU$4:$BC$9,6,0)</f>
        <v>1</v>
      </c>
      <c r="BJ7" s="594">
        <f>VLOOKUP(SMALL($AU$4:$AU$9,4),$AU$4:$BC$9,7,0)</f>
        <v>1</v>
      </c>
      <c r="BK7" s="594">
        <f>VLOOKUP(SMALL($AU$4:$AU$9,4),$AU$4:$BC$9,8,0)</f>
        <v>1</v>
      </c>
      <c r="BL7" s="611">
        <f>VLOOKUP(SMALL($AU$4:$AU$9,4),$AU$4:$BC$9,9,0)</f>
        <v>1</v>
      </c>
      <c r="BM7" s="308">
        <f>IF(BF7&lt;BF8,1,IF(BG7&lt;BG8,2,IF(BH7&lt;BH8,3,IF(BI7&lt;BI8,4,IF(BJ7&lt;BJ8,5,IF(BK7&lt;BK8,6,IF(BL7&lt;BL8,7,8)))))))</f>
        <v>8</v>
      </c>
      <c r="BN7" s="595"/>
      <c r="BO7" s="615">
        <f>VLOOKUP(SMALL($BE$4:$BE$9,4),$BE$4:$BM$9,1,0)</f>
        <v>4</v>
      </c>
      <c r="BP7" s="616">
        <f>VLOOKUP(SMALL($BE$4:$BE$9,4),$BE$4:$BM$9,9,0)</f>
        <v>8</v>
      </c>
      <c r="BQ7" s="595"/>
      <c r="BR7" s="322">
        <f>IF(M18&gt;0,0,"")</f>
      </c>
      <c r="BS7" s="395"/>
      <c r="BU7" s="500">
        <f>IF(OR(calculations!$G$6=1,calculations!$G$6=2),calculations!$F$6,0)</f>
        <v>0</v>
      </c>
      <c r="BV7" s="501">
        <f>IF(OR(calculations!$G$9=1,calculations!$G$9=2),calculations!$F$9,0)</f>
        <v>0</v>
      </c>
      <c r="BW7" s="501">
        <f>IF(OR(calculations!$L$9=1,calculations!$L$9=2),calculations!$K$9,0)</f>
        <v>0</v>
      </c>
      <c r="BX7" s="501">
        <f>IF(OR(calculations!$Q$9=1,calculations!$Q$9=2),calculations!$P$9,0)</f>
        <v>0</v>
      </c>
      <c r="BY7" s="504">
        <f>IF(OR(calculations!$V$9=1,calculations!$V$9=2),calculations!$U$9,0)</f>
        <v>0</v>
      </c>
      <c r="BZ7" s="510">
        <f>calculations!$AO$9</f>
        <v>0</v>
      </c>
      <c r="CA7" s="508">
        <f t="shared" si="7"/>
        <v>0</v>
      </c>
      <c r="CB7" s="501">
        <f t="shared" si="7"/>
        <v>0</v>
      </c>
      <c r="CC7" s="501">
        <f t="shared" si="7"/>
        <v>0</v>
      </c>
      <c r="CD7" s="501">
        <f t="shared" si="7"/>
        <v>0</v>
      </c>
      <c r="CE7" s="501">
        <f t="shared" si="7"/>
        <v>0</v>
      </c>
      <c r="CF7" s="502">
        <f>calculations!AQ9</f>
        <v>0</v>
      </c>
    </row>
    <row r="8" spans="3:84" ht="15">
      <c r="C8" s="302">
        <v>4</v>
      </c>
      <c r="D8" s="303">
        <f>IF(ISNUMBER(calculations!Q6),calculations!Q6,0)</f>
        <v>0</v>
      </c>
      <c r="E8" s="305">
        <f>IF(ISNUMBER(calculations!L10),calculations!L10,0)</f>
        <v>0</v>
      </c>
      <c r="F8" s="305">
        <f>IF(ISNUMBER(calculations!G14),calculations!G14,0)</f>
        <v>0</v>
      </c>
      <c r="G8" s="304"/>
      <c r="H8" s="305">
        <f>IF(ISNUMBER(calculations!G17),calculations!G17,0)</f>
        <v>0</v>
      </c>
      <c r="I8" s="306">
        <f>IF(ISNUMBER(calculations!L17),calculations!L17,0)</f>
        <v>0</v>
      </c>
      <c r="J8" s="356">
        <f>D8+E8+F8+H8+I8</f>
        <v>0</v>
      </c>
      <c r="K8" s="351">
        <f>calculations!$AO$17</f>
        <v>0</v>
      </c>
      <c r="L8" s="351">
        <f>rangs!CA9</f>
        <v>0</v>
      </c>
      <c r="M8" s="351">
        <f>rangs!CB9</f>
        <v>0</v>
      </c>
      <c r="N8" s="351">
        <f>rangs!CC9</f>
        <v>0</v>
      </c>
      <c r="O8" s="351">
        <f>rangs!CD9</f>
        <v>0</v>
      </c>
      <c r="P8" s="351">
        <f>rangs!CE9</f>
        <v>0</v>
      </c>
      <c r="Q8" s="371">
        <f>rangs!CF9</f>
        <v>0</v>
      </c>
      <c r="R8" s="420">
        <f t="shared" si="5"/>
        <v>1</v>
      </c>
      <c r="S8" s="681">
        <f>AQ21</f>
        <v>1</v>
      </c>
      <c r="V8" s="318"/>
      <c r="W8" s="318"/>
      <c r="X8" s="308">
        <v>4</v>
      </c>
      <c r="Y8" s="309">
        <f>IF(AND(J8=J5,D8&gt;G5),0.1,0)</f>
        <v>0</v>
      </c>
      <c r="Z8" s="305">
        <f>IF(AND(J8=J6,E8&gt;G6),0.1,0)</f>
        <v>0</v>
      </c>
      <c r="AA8" s="305">
        <f>IF(AND(J8=J7,F8&gt;G7),0.1,0)</f>
        <v>0</v>
      </c>
      <c r="AB8" s="304"/>
      <c r="AC8" s="305">
        <f>IF(AND(J8=J9,H8&gt;G9),0.1,0)</f>
        <v>0</v>
      </c>
      <c r="AD8" s="305">
        <f>IF(AND(J8=J10,I8&gt;G10),0.1,0)</f>
        <v>0</v>
      </c>
      <c r="AE8" s="307">
        <f>Y8+Z8+AA8+AC8+AD8</f>
        <v>0</v>
      </c>
      <c r="AF8" s="318"/>
      <c r="AG8" s="318"/>
      <c r="AI8" s="335"/>
      <c r="AJ8" s="318"/>
      <c r="AK8" s="318"/>
      <c r="AL8" s="360">
        <v>5</v>
      </c>
      <c r="AM8" s="364">
        <f t="shared" si="0"/>
        <v>1.1111111</v>
      </c>
      <c r="AN8" s="318"/>
      <c r="AO8" s="360">
        <v>5</v>
      </c>
      <c r="AP8" s="375">
        <f t="shared" si="1"/>
        <v>0.1111111</v>
      </c>
      <c r="AQ8" s="490">
        <f t="shared" si="2"/>
        <v>1</v>
      </c>
      <c r="AR8" s="395"/>
      <c r="AS8" s="318"/>
      <c r="AT8" s="335"/>
      <c r="AU8" s="302">
        <f t="shared" si="3"/>
        <v>0.11111115</v>
      </c>
      <c r="AV8" s="308">
        <v>5</v>
      </c>
      <c r="AW8" s="608">
        <f t="shared" si="4"/>
        <v>1</v>
      </c>
      <c r="AX8" s="594">
        <f t="shared" si="4"/>
        <v>1</v>
      </c>
      <c r="AY8" s="594">
        <f t="shared" si="4"/>
        <v>1</v>
      </c>
      <c r="AZ8" s="594">
        <f t="shared" si="4"/>
        <v>1</v>
      </c>
      <c r="BA8" s="594">
        <f t="shared" si="4"/>
        <v>1</v>
      </c>
      <c r="BB8" s="594">
        <f t="shared" si="4"/>
        <v>1</v>
      </c>
      <c r="BC8" s="307">
        <f t="shared" si="4"/>
        <v>1</v>
      </c>
      <c r="BD8" s="318"/>
      <c r="BE8" s="302">
        <f>VLOOKUP(SMALL($AU$4:$AU$9,5),$AU$4:$BC$9,2,0)</f>
        <v>5</v>
      </c>
      <c r="BF8" s="604">
        <f>VLOOKUP(SMALL($AU$4:$AU$9,5),$AU$4:$BC$9,3,0)</f>
        <v>1</v>
      </c>
      <c r="BG8" s="594">
        <f>VLOOKUP(SMALL($AU$4:$AU$9,5),$AU$4:$BC$9,4,0)</f>
        <v>1</v>
      </c>
      <c r="BH8" s="594">
        <f>VLOOKUP(SMALL($AU$4:$AU$9,5),$AU$4:$BC$9,5,0)</f>
        <v>1</v>
      </c>
      <c r="BI8" s="594">
        <f>VLOOKUP(SMALL($AU$4:$AU$9,5),$AU$4:$BC$9,6,0)</f>
        <v>1</v>
      </c>
      <c r="BJ8" s="594">
        <f>VLOOKUP(SMALL($AU$4:$AU$9,5),$AU$4:$BC$9,7,0)</f>
        <v>1</v>
      </c>
      <c r="BK8" s="594">
        <f>VLOOKUP(SMALL($AU$4:$AU$9,5),$AU$4:$BC$9,8,0)</f>
        <v>1</v>
      </c>
      <c r="BL8" s="611">
        <f>VLOOKUP(SMALL($AU$4:$AU$9,5),$AU$4:$BC$9,9,0)</f>
        <v>1</v>
      </c>
      <c r="BM8" s="308">
        <f>IF(BF8&lt;BF9,1,IF(BG8&lt;BG9,2,IF(BH8&lt;BH9,3,IF(BI8&lt;BI9,4,IF(BJ8&lt;BJ9,5,IF(BK8&lt;BK9,6,IF(BL8&lt;BL9,7,8)))))))</f>
        <v>8</v>
      </c>
      <c r="BN8" s="595"/>
      <c r="BO8" s="615">
        <f>VLOOKUP(SMALL($BE$4:$BE$9,5),$BE$4:$BM$9,1,0)</f>
        <v>5</v>
      </c>
      <c r="BP8" s="616">
        <f>VLOOKUP(SMALL($BE$4:$BE$9,5),$BE$4:$BM$9,9,0)</f>
        <v>8</v>
      </c>
      <c r="BQ8" s="595"/>
      <c r="BR8" s="322">
        <f>IF(P18,0,"")</f>
      </c>
      <c r="BS8" s="395"/>
      <c r="BU8" s="500">
        <f>IF(OR(calculations!$L$6=1,calculations!$L$6=2),calculations!$K$6,0)</f>
        <v>0</v>
      </c>
      <c r="BV8" s="501">
        <f>IF(OR(calculations!$G$10=1,calculations!$G$10=2),calculations!$F$10,0)</f>
        <v>0</v>
      </c>
      <c r="BW8" s="501">
        <f>IF(OR(calculations!$G$13=1,calculations!$G$13=2),calculations!$F$13,0)</f>
        <v>0</v>
      </c>
      <c r="BX8" s="501">
        <f>IF(OR(calculations!$L$13=1,calculations!$L$13=2),calculations!$K$13,0)</f>
        <v>0</v>
      </c>
      <c r="BY8" s="504">
        <f>IF(OR(calculations!$Q$13=1,calculations!$Q$13=2),calculations!$P$13,0)</f>
        <v>0</v>
      </c>
      <c r="BZ8" s="510">
        <f>calculations!$AO$13</f>
        <v>0</v>
      </c>
      <c r="CA8" s="508">
        <f t="shared" si="7"/>
        <v>0</v>
      </c>
      <c r="CB8" s="501">
        <f t="shared" si="7"/>
        <v>0</v>
      </c>
      <c r="CC8" s="501">
        <f t="shared" si="7"/>
        <v>0</v>
      </c>
      <c r="CD8" s="501">
        <f t="shared" si="7"/>
        <v>0</v>
      </c>
      <c r="CE8" s="501">
        <f t="shared" si="7"/>
        <v>0</v>
      </c>
      <c r="CF8" s="502">
        <f>calculations!AQ13</f>
        <v>0</v>
      </c>
    </row>
    <row r="9" spans="3:84" ht="15.75" thickBot="1">
      <c r="C9" s="302">
        <v>5</v>
      </c>
      <c r="D9" s="303">
        <f>IF(ISNUMBER(calculations!V6),calculations!V6,0)</f>
        <v>0</v>
      </c>
      <c r="E9" s="305">
        <f>IF(ISNUMBER(calculations!Q10),calculations!Q10,0)</f>
        <v>0</v>
      </c>
      <c r="F9" s="305">
        <f>IF(ISNUMBER(calculations!L14),calculations!L14,0)</f>
        <v>0</v>
      </c>
      <c r="G9" s="305">
        <f>IF(ISNUMBER(calculations!G18),calculations!G18,0)</f>
        <v>0</v>
      </c>
      <c r="H9" s="304"/>
      <c r="I9" s="306">
        <f>IF(ISNUMBER(calculations!G21),calculations!G21,0)</f>
        <v>0</v>
      </c>
      <c r="J9" s="356">
        <f>D9+E9+F9+G9+I9</f>
        <v>0</v>
      </c>
      <c r="K9" s="351">
        <f>calculations!$AO$21</f>
        <v>0</v>
      </c>
      <c r="L9" s="351">
        <f>rangs!CA10</f>
        <v>0</v>
      </c>
      <c r="M9" s="351">
        <f>rangs!CB10</f>
        <v>0</v>
      </c>
      <c r="N9" s="351">
        <f>rangs!CC10</f>
        <v>0</v>
      </c>
      <c r="O9" s="351">
        <f>rangs!CD10</f>
        <v>0</v>
      </c>
      <c r="P9" s="351">
        <f>rangs!CE10</f>
        <v>0</v>
      </c>
      <c r="Q9" s="371">
        <f>rangs!CF10</f>
        <v>0</v>
      </c>
      <c r="R9" s="420">
        <f t="shared" si="5"/>
        <v>1</v>
      </c>
      <c r="S9" s="681">
        <f>AQ22</f>
        <v>1</v>
      </c>
      <c r="V9" s="318"/>
      <c r="W9" s="318"/>
      <c r="X9" s="308">
        <v>5</v>
      </c>
      <c r="Y9" s="309">
        <f>IF(AND(J9=J5,D9&gt;H5),0.1,0)</f>
        <v>0</v>
      </c>
      <c r="Z9" s="305">
        <f>IF(AND(J9=J6,E9&gt;H6),0.1,0)</f>
        <v>0</v>
      </c>
      <c r="AA9" s="305">
        <f>IF(AND(J9=J7,F9&gt;H7),0.1,0)</f>
        <v>0</v>
      </c>
      <c r="AB9" s="305">
        <f>IF(AND(J9=J8,G9&gt;H8),0.1,0)</f>
        <v>0</v>
      </c>
      <c r="AC9" s="304"/>
      <c r="AD9" s="305">
        <f>IF(AND(J9=J10,I9&gt;H10),0.1,0)</f>
        <v>0</v>
      </c>
      <c r="AE9" s="307">
        <f>Y9+Z9+AA9+AB9+AD9</f>
        <v>0</v>
      </c>
      <c r="AF9" s="318"/>
      <c r="AG9" s="318"/>
      <c r="AI9" s="335"/>
      <c r="AJ9" s="318"/>
      <c r="AK9" s="318"/>
      <c r="AL9" s="361">
        <v>6</v>
      </c>
      <c r="AM9" s="365">
        <f t="shared" si="0"/>
        <v>1.1111111</v>
      </c>
      <c r="AN9" s="318"/>
      <c r="AO9" s="361">
        <v>6</v>
      </c>
      <c r="AP9" s="376">
        <f t="shared" si="1"/>
        <v>0.1111111</v>
      </c>
      <c r="AQ9" s="490">
        <f t="shared" si="2"/>
        <v>1</v>
      </c>
      <c r="AR9" s="395"/>
      <c r="AS9" s="318"/>
      <c r="AT9" s="335"/>
      <c r="AU9" s="310">
        <f t="shared" si="3"/>
        <v>0.11111116</v>
      </c>
      <c r="AV9" s="315">
        <v>6</v>
      </c>
      <c r="AW9" s="609">
        <f t="shared" si="4"/>
        <v>1</v>
      </c>
      <c r="AX9" s="606">
        <f t="shared" si="4"/>
        <v>1</v>
      </c>
      <c r="AY9" s="606">
        <f t="shared" si="4"/>
        <v>1</v>
      </c>
      <c r="AZ9" s="606">
        <f t="shared" si="4"/>
        <v>1</v>
      </c>
      <c r="BA9" s="606">
        <f t="shared" si="4"/>
        <v>1</v>
      </c>
      <c r="BB9" s="606">
        <f t="shared" si="4"/>
        <v>1</v>
      </c>
      <c r="BC9" s="314">
        <f t="shared" si="4"/>
        <v>1</v>
      </c>
      <c r="BD9" s="318"/>
      <c r="BE9" s="310">
        <f>VLOOKUP(SMALL($AU$4:$AU$9,6),$AU$4:$BC$9,2,0)</f>
        <v>6</v>
      </c>
      <c r="BF9" s="605">
        <f>VLOOKUP(SMALL($AU$4:$AU$9,6),$AU$4:$BC$9,3,0)</f>
        <v>1</v>
      </c>
      <c r="BG9" s="606">
        <f>VLOOKUP(SMALL($AU$4:$AU$9,6),$AU$4:$BC$9,4,0)</f>
        <v>1</v>
      </c>
      <c r="BH9" s="606">
        <f>VLOOKUP(SMALL($AU$4:$AU$9,6),$AU$4:$BC$9,5,0)</f>
        <v>1</v>
      </c>
      <c r="BI9" s="606">
        <f>VLOOKUP(SMALL($AU$4:$AU$9,6),$AU$4:$BC$9,6,0)</f>
        <v>1</v>
      </c>
      <c r="BJ9" s="606">
        <f>VLOOKUP(SMALL($AU$4:$AU$9,6),$AU$4:$BC$9,7,0)</f>
        <v>1</v>
      </c>
      <c r="BK9" s="606">
        <f>VLOOKUP(SMALL($AU$4:$AU$9,6),$AU$4:$BC$9,8,0)</f>
        <v>1</v>
      </c>
      <c r="BL9" s="612">
        <f>VLOOKUP(SMALL($AU$4:$AU$9,6),$AU$4:$BC$9,9,0)</f>
        <v>1</v>
      </c>
      <c r="BM9" s="315"/>
      <c r="BN9" s="595"/>
      <c r="BO9" s="617">
        <f>VLOOKUP(SMALL($BE$4:$BE$9,6),$BE$4:$BM$9,1,0)</f>
        <v>6</v>
      </c>
      <c r="BP9" s="618">
        <f>VLOOKUP(SMALL($BE$4:$BE$9,6),$BE$4:$BM$9,9,0)</f>
        <v>0</v>
      </c>
      <c r="BQ9" s="595"/>
      <c r="BR9" s="326">
        <f>IF(S18&gt;0,0,"")</f>
      </c>
      <c r="BS9" s="395"/>
      <c r="BU9" s="500">
        <f>IF(OR(calculations!$Q$6=1,calculations!$Q$6=2),calculations!$P$6,0)</f>
        <v>0</v>
      </c>
      <c r="BV9" s="501">
        <f>IF(OR(calculations!$L$10=1,calculations!$L$10=2),calculations!$K$10,0)</f>
        <v>0</v>
      </c>
      <c r="BW9" s="501">
        <f>IF(OR(calculations!$G$14=1,calculations!$G$14=2),calculations!$F$14,0)</f>
        <v>0</v>
      </c>
      <c r="BX9" s="501">
        <f>IF(OR(calculations!$G$17=1,calculations!$G$17=2),calculations!$F$17,0)</f>
        <v>0</v>
      </c>
      <c r="BY9" s="504">
        <f>IF(OR(calculations!$L$17=1,calculations!$L$17=2),calculations!$K$17,0)</f>
        <v>0</v>
      </c>
      <c r="BZ9" s="510">
        <f>calculations!$AO$17</f>
        <v>0</v>
      </c>
      <c r="CA9" s="508">
        <f t="shared" si="7"/>
        <v>0</v>
      </c>
      <c r="CB9" s="501">
        <f t="shared" si="7"/>
        <v>0</v>
      </c>
      <c r="CC9" s="501">
        <f t="shared" si="7"/>
        <v>0</v>
      </c>
      <c r="CD9" s="501">
        <f t="shared" si="7"/>
        <v>0</v>
      </c>
      <c r="CE9" s="501">
        <f t="shared" si="7"/>
        <v>0</v>
      </c>
      <c r="CF9" s="502">
        <f>calculations!AQ17</f>
        <v>0</v>
      </c>
    </row>
    <row r="10" spans="3:84" ht="15.75" thickBot="1">
      <c r="C10" s="310">
        <v>6</v>
      </c>
      <c r="D10" s="311">
        <f>IF(ISNUMBER(calculations!AA6),calculations!AA6,0)</f>
        <v>0</v>
      </c>
      <c r="E10" s="312">
        <f>IF(ISNUMBER(calculations!V10),calculations!V10,0)</f>
        <v>0</v>
      </c>
      <c r="F10" s="312">
        <f>IF(ISNUMBER(calculations!Q14),calculations!Q14,0)</f>
        <v>0</v>
      </c>
      <c r="G10" s="312">
        <f>IF(ISNUMBER(calculations!L18),calculations!L18,0)</f>
        <v>0</v>
      </c>
      <c r="H10" s="312">
        <f>IF(ISNUMBER(calculations!G22),calculations!G22,0)</f>
        <v>0</v>
      </c>
      <c r="I10" s="313"/>
      <c r="J10" s="357">
        <f>D10+E10+F10+G10+H10</f>
        <v>0</v>
      </c>
      <c r="K10" s="352">
        <f>calculations!$AO$25</f>
        <v>0</v>
      </c>
      <c r="L10" s="352">
        <f>rangs!CA11</f>
        <v>0</v>
      </c>
      <c r="M10" s="352">
        <f>rangs!CB11</f>
        <v>0</v>
      </c>
      <c r="N10" s="352">
        <f>rangs!CC11</f>
        <v>0</v>
      </c>
      <c r="O10" s="352">
        <f>rangs!CD11</f>
        <v>0</v>
      </c>
      <c r="P10" s="352">
        <f>rangs!CE11</f>
        <v>0</v>
      </c>
      <c r="Q10" s="372">
        <f>rangs!CF11</f>
        <v>0</v>
      </c>
      <c r="R10" s="421">
        <f t="shared" si="5"/>
        <v>1</v>
      </c>
      <c r="S10" s="681">
        <f>AQ23</f>
        <v>1</v>
      </c>
      <c r="V10" s="318"/>
      <c r="W10" s="318"/>
      <c r="X10" s="315">
        <v>6</v>
      </c>
      <c r="Y10" s="316">
        <f>IF(AND(J10=J5,D10&gt;I5),0.1,0)</f>
        <v>0</v>
      </c>
      <c r="Z10" s="312">
        <f>IF(AND(J10=J6,E10&gt;I6),0.1,0)</f>
        <v>0</v>
      </c>
      <c r="AA10" s="312">
        <f>IF(AND(J10=J7,F10&gt;I7),0.1,0)</f>
        <v>0</v>
      </c>
      <c r="AB10" s="312">
        <f>IF(AND(J10=J8,G10&gt;I8),0.1,0)</f>
        <v>0</v>
      </c>
      <c r="AC10" s="312">
        <f>IF(AND(J10=J9,H10&gt;I9),0.1,0)</f>
        <v>0</v>
      </c>
      <c r="AD10" s="317"/>
      <c r="AE10" s="314">
        <f>Y10+Z10+AA10+AB10+AC10</f>
        <v>0</v>
      </c>
      <c r="AF10" s="318"/>
      <c r="AG10" s="318"/>
      <c r="AI10" s="335"/>
      <c r="AJ10" s="318"/>
      <c r="AK10" s="318"/>
      <c r="AL10" s="318"/>
      <c r="AM10" s="318"/>
      <c r="AN10" s="318"/>
      <c r="AO10" s="318"/>
      <c r="AP10" s="318"/>
      <c r="AQ10" s="318"/>
      <c r="AR10" s="395"/>
      <c r="AS10" s="318"/>
      <c r="AT10" s="335"/>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95"/>
      <c r="BU10" s="500">
        <f>IF(OR(calculations!$V$6=1,calculations!$V$6=2),calculations!$U$6,0)</f>
        <v>0</v>
      </c>
      <c r="BV10" s="501">
        <f>IF(OR(calculations!$Q$10=1,calculations!$Q$10=2),calculations!$P$10,0)</f>
        <v>0</v>
      </c>
      <c r="BW10" s="501">
        <f>IF(OR(calculations!$L$14=1,calculations!$L$14=2),calculations!$K$14,0)</f>
        <v>0</v>
      </c>
      <c r="BX10" s="501">
        <f>IF(OR(calculations!$G$18=1,calculations!$G$18=2),calculations!$F$18,0)</f>
        <v>0</v>
      </c>
      <c r="BY10" s="504">
        <f>IF(OR(calculations!$G$21=1,calculations!$G$21=2),calculations!$F$21,0)</f>
        <v>0</v>
      </c>
      <c r="BZ10" s="510">
        <f>calculations!$AO$21</f>
        <v>0</v>
      </c>
      <c r="CA10" s="508">
        <f t="shared" si="7"/>
        <v>0</v>
      </c>
      <c r="CB10" s="501">
        <f t="shared" si="7"/>
        <v>0</v>
      </c>
      <c r="CC10" s="501">
        <f t="shared" si="7"/>
        <v>0</v>
      </c>
      <c r="CD10" s="501">
        <f t="shared" si="7"/>
        <v>0</v>
      </c>
      <c r="CE10" s="501">
        <f t="shared" si="7"/>
        <v>0</v>
      </c>
      <c r="CF10" s="502">
        <f>calculations!AQ21</f>
        <v>0</v>
      </c>
    </row>
    <row r="11" spans="3:84" ht="15.75" thickBot="1">
      <c r="C11" s="319"/>
      <c r="D11" s="318"/>
      <c r="E11" s="318"/>
      <c r="F11" s="318"/>
      <c r="G11" s="318"/>
      <c r="H11" s="318"/>
      <c r="I11" s="381"/>
      <c r="J11" s="418"/>
      <c r="K11" s="418"/>
      <c r="L11" s="418"/>
      <c r="M11" s="418"/>
      <c r="N11" s="418"/>
      <c r="O11" s="418"/>
      <c r="P11" s="418"/>
      <c r="Q11" s="418"/>
      <c r="R11" s="377"/>
      <c r="V11" s="318"/>
      <c r="W11" s="318"/>
      <c r="X11" s="319"/>
      <c r="Y11" s="318"/>
      <c r="Z11" s="318"/>
      <c r="AA11" s="318"/>
      <c r="AB11" s="318"/>
      <c r="AC11" s="318"/>
      <c r="AD11" s="381"/>
      <c r="AE11" s="319"/>
      <c r="AF11" s="318"/>
      <c r="AG11" s="318"/>
      <c r="AI11" s="345"/>
      <c r="AJ11" s="346"/>
      <c r="AK11" s="346"/>
      <c r="AL11" s="346"/>
      <c r="AM11" s="346"/>
      <c r="AN11" s="346"/>
      <c r="AO11" s="346"/>
      <c r="AP11" s="346"/>
      <c r="AQ11" s="346"/>
      <c r="AR11" s="293"/>
      <c r="AS11" s="318"/>
      <c r="AT11" s="345"/>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293"/>
      <c r="BU11" s="494">
        <f>IF(OR(calculations!$AA$6=1,calculations!$AA$6=2),calculations!$Z$6,0)</f>
        <v>0</v>
      </c>
      <c r="BV11" s="495">
        <f>IF(OR(calculations!$V$10=1,calculations!$V$10=2),calculations!$U$10,0)</f>
        <v>0</v>
      </c>
      <c r="BW11" s="495">
        <f>IF(OR(calculations!$Q$14=1,calculations!$Q$14=2),calculations!$P$14,0)</f>
        <v>0</v>
      </c>
      <c r="BX11" s="495">
        <f>IF(OR(calculations!$L$18=1,calculations!$L$18=2),calculations!$K$18,0)</f>
        <v>0</v>
      </c>
      <c r="BY11" s="505">
        <f>IF(OR(calculations!$G$22=1,calculations!$G$22=2),calculations!$F$22,0)</f>
        <v>0</v>
      </c>
      <c r="BZ11" s="493">
        <f>calculations!$AO$25</f>
        <v>0</v>
      </c>
      <c r="CA11" s="506">
        <f t="shared" si="7"/>
        <v>0</v>
      </c>
      <c r="CB11" s="495">
        <f t="shared" si="7"/>
        <v>0</v>
      </c>
      <c r="CC11" s="495">
        <f t="shared" si="7"/>
        <v>0</v>
      </c>
      <c r="CD11" s="495">
        <f t="shared" si="7"/>
        <v>0</v>
      </c>
      <c r="CE11" s="495">
        <f t="shared" si="7"/>
        <v>0</v>
      </c>
      <c r="CF11" s="496">
        <f>calculations!AQ25</f>
        <v>0</v>
      </c>
    </row>
    <row r="12" spans="3:84" ht="15.75" thickBot="1">
      <c r="C12" s="284"/>
      <c r="F12" s="285"/>
      <c r="Q12" s="284"/>
      <c r="BU12" s="485"/>
      <c r="BV12" s="485"/>
      <c r="BW12" s="485"/>
      <c r="BX12" s="485"/>
      <c r="BY12" s="485"/>
      <c r="BZ12" s="485"/>
      <c r="CA12" s="485"/>
      <c r="CB12" s="485"/>
      <c r="CC12" s="485"/>
      <c r="CD12" s="485"/>
      <c r="CE12" s="485"/>
      <c r="CF12" s="485"/>
    </row>
    <row r="13" spans="2:71" ht="90.75" customHeight="1" thickBot="1">
      <c r="B13" s="951" t="s">
        <v>249</v>
      </c>
      <c r="C13" s="954"/>
      <c r="D13" s="954"/>
      <c r="E13" s="954"/>
      <c r="F13" s="954"/>
      <c r="G13" s="954"/>
      <c r="H13" s="954"/>
      <c r="I13" s="954"/>
      <c r="J13" s="954"/>
      <c r="K13" s="954"/>
      <c r="L13" s="954"/>
      <c r="M13" s="954"/>
      <c r="N13" s="954"/>
      <c r="O13" s="954"/>
      <c r="P13" s="954"/>
      <c r="Q13" s="954"/>
      <c r="R13" s="954"/>
      <c r="S13" s="954"/>
      <c r="T13" s="955"/>
      <c r="U13" s="318"/>
      <c r="V13" s="318"/>
      <c r="W13" s="956" t="s">
        <v>301</v>
      </c>
      <c r="X13" s="957"/>
      <c r="Y13" s="957"/>
      <c r="Z13" s="957"/>
      <c r="AA13" s="957"/>
      <c r="AB13" s="957"/>
      <c r="AC13" s="957"/>
      <c r="AD13" s="957"/>
      <c r="AE13" s="957"/>
      <c r="AF13" s="957"/>
      <c r="AG13" s="958"/>
      <c r="AI13" s="951" t="s">
        <v>250</v>
      </c>
      <c r="AJ13" s="952"/>
      <c r="AK13" s="952"/>
      <c r="AL13" s="952"/>
      <c r="AM13" s="952"/>
      <c r="AN13" s="952"/>
      <c r="AO13" s="952"/>
      <c r="AP13" s="952"/>
      <c r="AQ13" s="952"/>
      <c r="AR13" s="953"/>
      <c r="AS13" s="597"/>
      <c r="AT13" s="964" t="s">
        <v>312</v>
      </c>
      <c r="AU13" s="957"/>
      <c r="AV13" s="957"/>
      <c r="AW13" s="957"/>
      <c r="AX13" s="957"/>
      <c r="AY13" s="957"/>
      <c r="AZ13" s="957"/>
      <c r="BA13" s="957"/>
      <c r="BB13" s="957"/>
      <c r="BC13" s="957"/>
      <c r="BD13" s="957"/>
      <c r="BE13" s="957"/>
      <c r="BF13" s="957"/>
      <c r="BG13" s="957"/>
      <c r="BH13" s="957"/>
      <c r="BI13" s="957"/>
      <c r="BJ13" s="957"/>
      <c r="BK13" s="957"/>
      <c r="BL13" s="957"/>
      <c r="BM13" s="957"/>
      <c r="BN13" s="957"/>
      <c r="BO13" s="957"/>
      <c r="BP13" s="957"/>
      <c r="BQ13" s="957"/>
      <c r="BR13" s="957"/>
      <c r="BS13" s="958"/>
    </row>
    <row r="15" spans="2:36" ht="16.5" thickBot="1">
      <c r="B15" s="284" t="s">
        <v>304</v>
      </c>
      <c r="AJ15" s="415" t="s">
        <v>182</v>
      </c>
    </row>
    <row r="16" spans="3:44" s="284" customFormat="1" ht="15.75" thickBot="1">
      <c r="C16" s="413"/>
      <c r="D16" s="945" t="s">
        <v>306</v>
      </c>
      <c r="E16" s="946"/>
      <c r="F16" s="947"/>
      <c r="G16" s="945" t="s">
        <v>307</v>
      </c>
      <c r="H16" s="946"/>
      <c r="I16" s="947"/>
      <c r="J16" s="945" t="s">
        <v>308</v>
      </c>
      <c r="K16" s="946"/>
      <c r="L16" s="947"/>
      <c r="M16" s="945" t="s">
        <v>309</v>
      </c>
      <c r="N16" s="946"/>
      <c r="O16" s="947"/>
      <c r="P16" s="945" t="s">
        <v>310</v>
      </c>
      <c r="Q16" s="946"/>
      <c r="R16" s="947"/>
      <c r="S16" s="945" t="s">
        <v>311</v>
      </c>
      <c r="T16" s="946"/>
      <c r="U16" s="947"/>
      <c r="AI16" s="683"/>
      <c r="AJ16" s="684"/>
      <c r="AK16" s="685"/>
      <c r="AL16" s="686"/>
      <c r="AM16" s="685"/>
      <c r="AN16" s="685"/>
      <c r="AO16" s="685"/>
      <c r="AP16" s="685"/>
      <c r="AQ16" s="685"/>
      <c r="AR16" s="687"/>
    </row>
    <row r="17" spans="3:44" s="640" customFormat="1" ht="15.75" thickBot="1">
      <c r="C17" s="650" t="s">
        <v>305</v>
      </c>
      <c r="D17" s="651" t="s">
        <v>196</v>
      </c>
      <c r="E17" s="651" t="s">
        <v>197</v>
      </c>
      <c r="F17" s="652" t="s">
        <v>104</v>
      </c>
      <c r="G17" s="651" t="s">
        <v>196</v>
      </c>
      <c r="H17" s="651" t="s">
        <v>197</v>
      </c>
      <c r="I17" s="652" t="s">
        <v>104</v>
      </c>
      <c r="J17" s="651" t="s">
        <v>196</v>
      </c>
      <c r="K17" s="651" t="s">
        <v>197</v>
      </c>
      <c r="L17" s="652" t="s">
        <v>104</v>
      </c>
      <c r="M17" s="651" t="s">
        <v>196</v>
      </c>
      <c r="N17" s="651" t="s">
        <v>197</v>
      </c>
      <c r="O17" s="652" t="s">
        <v>104</v>
      </c>
      <c r="P17" s="651" t="s">
        <v>196</v>
      </c>
      <c r="Q17" s="651" t="s">
        <v>197</v>
      </c>
      <c r="R17" s="652" t="s">
        <v>104</v>
      </c>
      <c r="S17" s="651" t="s">
        <v>196</v>
      </c>
      <c r="T17" s="651" t="s">
        <v>197</v>
      </c>
      <c r="U17" s="652" t="s">
        <v>104</v>
      </c>
      <c r="AI17" s="688"/>
      <c r="AJ17" s="689" t="s">
        <v>200</v>
      </c>
      <c r="AK17" s="690"/>
      <c r="AL17" s="691"/>
      <c r="AM17" s="692" t="s">
        <v>2</v>
      </c>
      <c r="AN17" s="693" t="s">
        <v>196</v>
      </c>
      <c r="AO17" s="693" t="s">
        <v>197</v>
      </c>
      <c r="AP17" s="694" t="s">
        <v>209</v>
      </c>
      <c r="AQ17" s="689" t="s">
        <v>104</v>
      </c>
      <c r="AR17" s="695"/>
    </row>
    <row r="18" spans="3:70" ht="15.75" thickBot="1">
      <c r="C18" s="645">
        <v>1</v>
      </c>
      <c r="D18" s="647">
        <f>AN28</f>
        <v>0</v>
      </c>
      <c r="E18" s="647">
        <f>AO28</f>
        <v>0</v>
      </c>
      <c r="F18" s="648">
        <f>AQ28</f>
        <v>1</v>
      </c>
      <c r="G18" s="647">
        <f>AN29</f>
        <v>0</v>
      </c>
      <c r="H18" s="647">
        <f>AO29</f>
        <v>0</v>
      </c>
      <c r="I18" s="648">
        <f>AQ29</f>
        <v>1</v>
      </c>
      <c r="J18" s="647">
        <f>AN30</f>
        <v>0</v>
      </c>
      <c r="K18" s="647">
        <f>AO30</f>
        <v>0</v>
      </c>
      <c r="L18" s="648">
        <f>AQ30</f>
        <v>1</v>
      </c>
      <c r="M18" s="647">
        <f>AN31</f>
        <v>0</v>
      </c>
      <c r="N18" s="647">
        <f>AO31</f>
        <v>0</v>
      </c>
      <c r="O18" s="648">
        <f>AQ31</f>
        <v>1</v>
      </c>
      <c r="P18" s="647">
        <f>AN32</f>
        <v>0</v>
      </c>
      <c r="Q18" s="647">
        <f>AO32</f>
        <v>0</v>
      </c>
      <c r="R18" s="648">
        <f>AQ32</f>
        <v>1</v>
      </c>
      <c r="S18" s="647">
        <f>AN33</f>
        <v>0</v>
      </c>
      <c r="T18" s="647">
        <f>AO33</f>
        <v>0</v>
      </c>
      <c r="U18" s="649">
        <f>AQ33</f>
        <v>1</v>
      </c>
      <c r="AI18" s="688"/>
      <c r="AJ18" s="696">
        <f aca="true" t="shared" si="8" ref="AJ18:AJ23">IF(AND(J28=S28,J28&gt;0),1,"")</f>
      </c>
      <c r="AK18" s="690"/>
      <c r="AL18" s="697">
        <v>1</v>
      </c>
      <c r="AM18" s="698">
        <f>ROUNDDOWN(J5,0)</f>
        <v>0</v>
      </c>
      <c r="AN18" s="699">
        <f aca="true" t="shared" si="9" ref="AN18:AN23">IF(AJ18=1,AE5,0)</f>
        <v>0</v>
      </c>
      <c r="AO18" s="699">
        <f>RANK(AP4,AP$4:AP$9,0)</f>
        <v>1</v>
      </c>
      <c r="AP18" s="700">
        <f>AM18+AN18+AO18/100</f>
        <v>0.01</v>
      </c>
      <c r="AQ18" s="701">
        <f>RANK(AP18,AP$18:AP$23)</f>
        <v>1</v>
      </c>
      <c r="AR18" s="702"/>
      <c r="BR18" s="318"/>
    </row>
    <row r="19" spans="3:70" ht="15.75" thickBot="1">
      <c r="C19" s="641">
        <v>2</v>
      </c>
      <c r="D19" s="351">
        <f>AN40</f>
        <v>0</v>
      </c>
      <c r="E19" s="351">
        <f>AO40</f>
        <v>0</v>
      </c>
      <c r="F19" s="642">
        <f>AQ40</f>
        <v>1</v>
      </c>
      <c r="G19" s="351">
        <f>AN41</f>
        <v>0</v>
      </c>
      <c r="H19" s="351">
        <f>AO41</f>
        <v>0</v>
      </c>
      <c r="I19" s="642">
        <f>AQ41</f>
        <v>1</v>
      </c>
      <c r="J19" s="351">
        <f>AN42</f>
        <v>0</v>
      </c>
      <c r="K19" s="351">
        <f>AO42</f>
        <v>0</v>
      </c>
      <c r="L19" s="642">
        <f>AQ42</f>
        <v>1</v>
      </c>
      <c r="M19" s="351">
        <f>AN43</f>
        <v>0</v>
      </c>
      <c r="N19" s="351">
        <f>AO43</f>
        <v>0</v>
      </c>
      <c r="O19" s="642">
        <f>AQ43</f>
        <v>1</v>
      </c>
      <c r="P19" s="351">
        <f>AN44</f>
        <v>0</v>
      </c>
      <c r="Q19" s="351">
        <f>AO44</f>
        <v>0</v>
      </c>
      <c r="R19" s="642">
        <f>AQ44</f>
        <v>1</v>
      </c>
      <c r="S19" s="351">
        <f>AN45</f>
        <v>0</v>
      </c>
      <c r="T19" s="351">
        <f>AO45</f>
        <v>0</v>
      </c>
      <c r="U19" s="323">
        <f>AQ45</f>
        <v>1</v>
      </c>
      <c r="AI19" s="688"/>
      <c r="AJ19" s="703">
        <f t="shared" si="8"/>
      </c>
      <c r="AK19" s="690"/>
      <c r="AL19" s="704">
        <v>2</v>
      </c>
      <c r="AM19" s="698">
        <f>ROUNDDOWN(J6,0)</f>
        <v>0</v>
      </c>
      <c r="AN19" s="705">
        <f t="shared" si="9"/>
        <v>0</v>
      </c>
      <c r="AO19" s="699">
        <f>RANK(AP5,AP$4:AP$9,0)</f>
        <v>1</v>
      </c>
      <c r="AP19" s="706">
        <f>AM19+AN19+AO19/100</f>
        <v>0.01</v>
      </c>
      <c r="AQ19" s="701">
        <f>RANK(AP19,AP$18:AP$23)</f>
        <v>1</v>
      </c>
      <c r="AR19" s="702"/>
      <c r="BR19" s="318"/>
    </row>
    <row r="20" spans="3:70" ht="15.75" thickBot="1">
      <c r="C20" s="641">
        <v>3</v>
      </c>
      <c r="D20" s="351">
        <f>AN53</f>
        <v>0</v>
      </c>
      <c r="E20" s="351">
        <f>AO53</f>
        <v>0</v>
      </c>
      <c r="F20" s="642">
        <f>AQ53</f>
        <v>1</v>
      </c>
      <c r="G20" s="351">
        <f>AN54</f>
        <v>0</v>
      </c>
      <c r="H20" s="351">
        <f>AO54</f>
        <v>0</v>
      </c>
      <c r="I20" s="642">
        <f>AQ54</f>
        <v>1</v>
      </c>
      <c r="J20" s="351">
        <f>AN55</f>
        <v>0</v>
      </c>
      <c r="K20" s="351">
        <f>AO55</f>
        <v>0</v>
      </c>
      <c r="L20" s="642">
        <f>AQ55</f>
        <v>1</v>
      </c>
      <c r="M20" s="351">
        <f>AN56</f>
        <v>0</v>
      </c>
      <c r="N20" s="351">
        <f>AO56</f>
        <v>0</v>
      </c>
      <c r="O20" s="642">
        <f>AQ56</f>
        <v>1</v>
      </c>
      <c r="P20" s="351">
        <f>AN57</f>
        <v>0</v>
      </c>
      <c r="Q20" s="351">
        <f>AO57</f>
        <v>0</v>
      </c>
      <c r="R20" s="642">
        <f>AQ57</f>
        <v>1</v>
      </c>
      <c r="S20" s="351">
        <f>AN58</f>
        <v>0</v>
      </c>
      <c r="T20" s="351">
        <f>AO58</f>
        <v>0</v>
      </c>
      <c r="U20" s="323">
        <f>AQ58</f>
        <v>1</v>
      </c>
      <c r="AI20" s="688"/>
      <c r="AJ20" s="703">
        <f t="shared" si="8"/>
      </c>
      <c r="AK20" s="690"/>
      <c r="AL20" s="704">
        <v>3</v>
      </c>
      <c r="AM20" s="698">
        <f>ROUNDDOWN(J7,0)</f>
        <v>0</v>
      </c>
      <c r="AN20" s="705">
        <f t="shared" si="9"/>
        <v>0</v>
      </c>
      <c r="AO20" s="699">
        <f>RANK(AP6,AP$4:AP$9,0)</f>
        <v>1</v>
      </c>
      <c r="AP20" s="706">
        <f>AM20+AN20+AO20/100</f>
        <v>0.01</v>
      </c>
      <c r="AQ20" s="701">
        <f>RANK(AP20,AP$18:AP$23)</f>
        <v>1</v>
      </c>
      <c r="AR20" s="702"/>
      <c r="BR20" s="318"/>
    </row>
    <row r="21" spans="3:70" ht="15.75" thickBot="1">
      <c r="C21" s="641">
        <v>4</v>
      </c>
      <c r="D21" s="351">
        <f>AN66</f>
        <v>0</v>
      </c>
      <c r="E21" s="351">
        <f>AO66</f>
        <v>0</v>
      </c>
      <c r="F21" s="642">
        <f>AQ66</f>
        <v>1</v>
      </c>
      <c r="G21" s="351">
        <f>AN67</f>
        <v>0</v>
      </c>
      <c r="H21" s="351">
        <f>AO67</f>
        <v>0</v>
      </c>
      <c r="I21" s="642">
        <f>AQ67</f>
        <v>1</v>
      </c>
      <c r="J21" s="351">
        <f>AN68</f>
        <v>0</v>
      </c>
      <c r="K21" s="351">
        <f>AO68</f>
        <v>0</v>
      </c>
      <c r="L21" s="642">
        <f>AQ68</f>
        <v>1</v>
      </c>
      <c r="M21" s="351">
        <f>AN69</f>
        <v>0</v>
      </c>
      <c r="N21" s="351">
        <f>AO69</f>
        <v>0</v>
      </c>
      <c r="O21" s="642">
        <f>AQ69</f>
        <v>1</v>
      </c>
      <c r="P21" s="351">
        <f>AN70</f>
        <v>0</v>
      </c>
      <c r="Q21" s="351">
        <f>AO70</f>
        <v>0</v>
      </c>
      <c r="R21" s="642">
        <f>AQ70</f>
        <v>1</v>
      </c>
      <c r="S21" s="351">
        <f>AN71</f>
        <v>0</v>
      </c>
      <c r="T21" s="351">
        <f>AO71</f>
        <v>0</v>
      </c>
      <c r="U21" s="323">
        <f>AQ71</f>
        <v>1</v>
      </c>
      <c r="AI21" s="688"/>
      <c r="AJ21" s="703">
        <f t="shared" si="8"/>
      </c>
      <c r="AK21" s="690"/>
      <c r="AL21" s="707">
        <v>4</v>
      </c>
      <c r="AM21" s="698">
        <f>ROUNDDOWN(J8,0)</f>
        <v>0</v>
      </c>
      <c r="AN21" s="705">
        <f t="shared" si="9"/>
        <v>0</v>
      </c>
      <c r="AO21" s="699">
        <f>RANK(AP7,AP$4:AP$9,0)</f>
        <v>1</v>
      </c>
      <c r="AP21" s="706">
        <f>AM21+AN21+AO21/100</f>
        <v>0.01</v>
      </c>
      <c r="AQ21" s="701">
        <f>RANK(AP21,AP$18:AP$23)</f>
        <v>1</v>
      </c>
      <c r="AR21" s="702"/>
      <c r="BR21" s="318"/>
    </row>
    <row r="22" spans="3:70" ht="15.75" thickBot="1">
      <c r="C22" s="646">
        <v>5</v>
      </c>
      <c r="D22" s="352">
        <f>AN79</f>
        <v>0</v>
      </c>
      <c r="E22" s="352">
        <f>AO79</f>
        <v>0</v>
      </c>
      <c r="F22" s="643">
        <f>AQ79</f>
        <v>1</v>
      </c>
      <c r="G22" s="352">
        <f>AN80</f>
        <v>0</v>
      </c>
      <c r="H22" s="352">
        <f>AO80</f>
        <v>0</v>
      </c>
      <c r="I22" s="643">
        <f>AQ80</f>
        <v>1</v>
      </c>
      <c r="J22" s="352">
        <f>AN81</f>
        <v>0</v>
      </c>
      <c r="K22" s="352">
        <f>AO81</f>
        <v>0</v>
      </c>
      <c r="L22" s="643">
        <f>AQ81</f>
        <v>1</v>
      </c>
      <c r="M22" s="352">
        <f>AN82</f>
        <v>0</v>
      </c>
      <c r="N22" s="352">
        <f>AO82</f>
        <v>0</v>
      </c>
      <c r="O22" s="643">
        <f>AQ82</f>
        <v>1</v>
      </c>
      <c r="P22" s="352">
        <f>AN83</f>
        <v>0</v>
      </c>
      <c r="Q22" s="352">
        <f>AO83</f>
        <v>0</v>
      </c>
      <c r="R22" s="643">
        <f>AQ83</f>
        <v>1</v>
      </c>
      <c r="S22" s="352">
        <f>AN84</f>
        <v>0</v>
      </c>
      <c r="T22" s="352">
        <f>AO84</f>
        <v>0</v>
      </c>
      <c r="U22" s="644">
        <f>AQ84</f>
        <v>1</v>
      </c>
      <c r="AI22" s="688"/>
      <c r="AJ22" s="703">
        <f t="shared" si="8"/>
      </c>
      <c r="AK22" s="690"/>
      <c r="AL22" s="708">
        <v>5</v>
      </c>
      <c r="AM22" s="698">
        <f>ROUNDDOWN(J9,0)</f>
        <v>0</v>
      </c>
      <c r="AN22" s="705">
        <f t="shared" si="9"/>
        <v>0</v>
      </c>
      <c r="AO22" s="699">
        <f>RANK(AP8,AP$4:AP$9,0)</f>
        <v>1</v>
      </c>
      <c r="AP22" s="706">
        <f>AM22+AN22+AO22/100</f>
        <v>0.01</v>
      </c>
      <c r="AQ22" s="701">
        <f>RANK(AP22,AP$18:AP$23)</f>
        <v>1</v>
      </c>
      <c r="AR22" s="702"/>
      <c r="BR22" s="318"/>
    </row>
    <row r="23" spans="35:70" ht="15.75" thickBot="1">
      <c r="AI23" s="688"/>
      <c r="AJ23" s="709">
        <f t="shared" si="8"/>
      </c>
      <c r="AK23" s="690"/>
      <c r="AL23" s="710">
        <v>6</v>
      </c>
      <c r="AM23" s="698">
        <f>ROUNDDOWN(J10,0)</f>
        <v>0</v>
      </c>
      <c r="AN23" s="711">
        <f t="shared" si="9"/>
        <v>0</v>
      </c>
      <c r="AO23" s="699">
        <f>RANK(AP9,AP$4:AP$9,0)</f>
        <v>1</v>
      </c>
      <c r="AP23" s="712">
        <f>AM23+AN23+AO23/100</f>
        <v>0.01</v>
      </c>
      <c r="AQ23" s="701">
        <f>RANK(AP23,AP$18:AP$23)</f>
        <v>1</v>
      </c>
      <c r="AR23" s="702"/>
      <c r="BR23" s="318"/>
    </row>
    <row r="24" spans="1:44" ht="15.75" thickBot="1">
      <c r="A24" s="318"/>
      <c r="B24" s="319" t="s">
        <v>183</v>
      </c>
      <c r="D24" s="318"/>
      <c r="E24" s="325"/>
      <c r="F24" s="327"/>
      <c r="G24" s="325"/>
      <c r="H24" s="325"/>
      <c r="I24" s="325"/>
      <c r="J24" s="325"/>
      <c r="K24" s="325"/>
      <c r="M24" s="318"/>
      <c r="N24" s="318"/>
      <c r="O24" s="318"/>
      <c r="P24" s="318"/>
      <c r="Q24" s="318"/>
      <c r="R24" s="318"/>
      <c r="S24" s="318"/>
      <c r="T24" s="318"/>
      <c r="U24" s="318"/>
      <c r="AI24" s="713"/>
      <c r="AJ24" s="714"/>
      <c r="AK24" s="715"/>
      <c r="AL24" s="714"/>
      <c r="AM24" s="714"/>
      <c r="AN24" s="714"/>
      <c r="AO24" s="714"/>
      <c r="AP24" s="714"/>
      <c r="AQ24" s="714"/>
      <c r="AR24" s="716"/>
    </row>
    <row r="25" spans="3:78" ht="16.5" thickBot="1">
      <c r="C25" s="319" t="s">
        <v>186</v>
      </c>
      <c r="L25" s="328" t="s">
        <v>187</v>
      </c>
      <c r="N25" s="318"/>
      <c r="O25" s="319"/>
      <c r="P25" s="318"/>
      <c r="Q25" s="318"/>
      <c r="R25" s="318"/>
      <c r="S25" s="318"/>
      <c r="T25" s="325"/>
      <c r="U25" s="325"/>
      <c r="V25" s="318"/>
      <c r="W25" s="318"/>
      <c r="X25" s="284" t="s">
        <v>203</v>
      </c>
      <c r="AJ25" s="415" t="s">
        <v>182</v>
      </c>
      <c r="AT25" s="284"/>
      <c r="AU25" s="592"/>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W25" s="592"/>
      <c r="BX25" s="592"/>
      <c r="BY25" s="592"/>
      <c r="BZ25" s="591"/>
    </row>
    <row r="26" spans="2:78" ht="15.75" thickBot="1">
      <c r="B26" s="329"/>
      <c r="C26" s="330"/>
      <c r="D26" s="330"/>
      <c r="E26" s="331"/>
      <c r="F26" s="332"/>
      <c r="G26" s="331"/>
      <c r="H26" s="331"/>
      <c r="I26" s="331"/>
      <c r="J26" s="331"/>
      <c r="K26" s="331"/>
      <c r="L26" s="330"/>
      <c r="M26" s="330"/>
      <c r="N26" s="330"/>
      <c r="O26" s="333"/>
      <c r="P26" s="330"/>
      <c r="Q26" s="330"/>
      <c r="R26" s="333"/>
      <c r="S26" s="330"/>
      <c r="T26" s="334"/>
      <c r="U26" s="325"/>
      <c r="V26" s="318"/>
      <c r="W26" s="329"/>
      <c r="X26" s="330"/>
      <c r="Y26" s="330"/>
      <c r="Z26" s="330"/>
      <c r="AA26" s="330"/>
      <c r="AB26" s="330"/>
      <c r="AC26" s="330"/>
      <c r="AD26" s="330"/>
      <c r="AE26" s="330"/>
      <c r="AF26" s="330"/>
      <c r="AG26" s="399"/>
      <c r="AI26" s="329"/>
      <c r="AJ26" s="410"/>
      <c r="AK26" s="330"/>
      <c r="AL26" s="333"/>
      <c r="AM26" s="330"/>
      <c r="AN26" s="330"/>
      <c r="AO26" s="330"/>
      <c r="AP26" s="330"/>
      <c r="AQ26" s="330"/>
      <c r="AR26" s="411"/>
      <c r="AS26" s="319"/>
      <c r="AT26" s="377"/>
      <c r="AU26" s="592"/>
      <c r="AV26" s="592"/>
      <c r="AW26" s="592"/>
      <c r="AX26" s="592"/>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1"/>
    </row>
    <row r="27" spans="2:78" ht="15.75" thickBot="1">
      <c r="B27" s="335"/>
      <c r="C27" s="286"/>
      <c r="D27" s="287">
        <v>1</v>
      </c>
      <c r="E27" s="288">
        <v>2</v>
      </c>
      <c r="F27" s="288">
        <v>3</v>
      </c>
      <c r="G27" s="288">
        <v>4</v>
      </c>
      <c r="H27" s="288">
        <v>5</v>
      </c>
      <c r="I27" s="289">
        <v>6</v>
      </c>
      <c r="J27" s="334" t="s">
        <v>182</v>
      </c>
      <c r="K27" s="325"/>
      <c r="L27" s="286"/>
      <c r="M27" s="287">
        <v>1</v>
      </c>
      <c r="N27" s="288">
        <v>2</v>
      </c>
      <c r="O27" s="288">
        <v>3</v>
      </c>
      <c r="P27" s="288">
        <v>4</v>
      </c>
      <c r="Q27" s="288">
        <v>5</v>
      </c>
      <c r="R27" s="289">
        <v>6</v>
      </c>
      <c r="S27" s="334" t="s">
        <v>182</v>
      </c>
      <c r="T27" s="336"/>
      <c r="U27" s="325"/>
      <c r="V27" s="318"/>
      <c r="W27" s="335"/>
      <c r="X27" s="286"/>
      <c r="Y27" s="390" t="s">
        <v>195</v>
      </c>
      <c r="Z27" s="287">
        <v>1</v>
      </c>
      <c r="AA27" s="288">
        <v>2</v>
      </c>
      <c r="AB27" s="288">
        <v>3</v>
      </c>
      <c r="AC27" s="288">
        <v>4</v>
      </c>
      <c r="AD27" s="288">
        <v>5</v>
      </c>
      <c r="AE27" s="289">
        <v>6</v>
      </c>
      <c r="AF27" s="486" t="s">
        <v>197</v>
      </c>
      <c r="AG27" s="395"/>
      <c r="AI27" s="335"/>
      <c r="AJ27" s="413" t="s">
        <v>200</v>
      </c>
      <c r="AK27" s="318"/>
      <c r="AL27" s="286"/>
      <c r="AM27" s="653" t="s">
        <v>2</v>
      </c>
      <c r="AN27" s="654" t="s">
        <v>196</v>
      </c>
      <c r="AO27" s="654" t="s">
        <v>197</v>
      </c>
      <c r="AP27" s="596" t="s">
        <v>209</v>
      </c>
      <c r="AQ27" s="413" t="s">
        <v>104</v>
      </c>
      <c r="AR27" s="409"/>
      <c r="AS27" s="377"/>
      <c r="AT27" s="318"/>
      <c r="AU27" s="592"/>
      <c r="AV27" s="592"/>
      <c r="AW27" s="592"/>
      <c r="AX27" s="592"/>
      <c r="AY27" s="592"/>
      <c r="AZ27" s="592"/>
      <c r="BA27" s="592"/>
      <c r="BB27" s="592"/>
      <c r="BC27" s="592"/>
      <c r="BD27" s="600"/>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1"/>
    </row>
    <row r="28" spans="2:78" ht="15">
      <c r="B28" s="335"/>
      <c r="C28" s="294">
        <v>1</v>
      </c>
      <c r="D28" s="295"/>
      <c r="E28" s="296">
        <f>IF(J5=J6,1,0)</f>
        <v>1</v>
      </c>
      <c r="F28" s="296">
        <f>IF(J5=J7,1,0)</f>
        <v>1</v>
      </c>
      <c r="G28" s="296">
        <f>IF(J5=J8,1,0)</f>
        <v>1</v>
      </c>
      <c r="H28" s="296">
        <f>IF(J5=J9,1,0)</f>
        <v>1</v>
      </c>
      <c r="I28" s="321">
        <f>IF(J5=J10,1,0)</f>
        <v>1</v>
      </c>
      <c r="J28" s="337">
        <f>E28+F28+G28+H28+I28</f>
        <v>5</v>
      </c>
      <c r="K28" s="325"/>
      <c r="L28" s="294">
        <v>1</v>
      </c>
      <c r="M28" s="295"/>
      <c r="N28" s="296">
        <f>IF(AND(J5=J6,E5=2),1,0)</f>
        <v>0</v>
      </c>
      <c r="O28" s="296">
        <f>IF(AND(J5=J7,F5=2),1,0)</f>
        <v>0</v>
      </c>
      <c r="P28" s="296">
        <f>IF(AND(J5=J8,G5=2),1,0)</f>
        <v>0</v>
      </c>
      <c r="Q28" s="296">
        <f>IF(AND(J5=J9,H5=2),1,0)</f>
        <v>0</v>
      </c>
      <c r="R28" s="321">
        <f>IF(AND(J5=J10,I5=2),1,0)</f>
        <v>0</v>
      </c>
      <c r="S28" s="337">
        <f>N28+O28+P28+Q28+R28</f>
        <v>0</v>
      </c>
      <c r="T28" s="338"/>
      <c r="U28" s="318"/>
      <c r="V28" s="318"/>
      <c r="W28" s="335"/>
      <c r="X28" s="294">
        <v>1</v>
      </c>
      <c r="Y28" s="362">
        <f aca="true" t="shared" si="10" ref="Y28:Y33">AQ4</f>
        <v>1</v>
      </c>
      <c r="Z28" s="387"/>
      <c r="AA28" s="378">
        <f>IF(J5=J6,AQ5,"")</f>
        <v>1</v>
      </c>
      <c r="AB28" s="378">
        <f>IF(J5=J7,AQ6,"")</f>
        <v>1</v>
      </c>
      <c r="AC28" s="378">
        <f>IF(J5=J8,AQ7,"")</f>
        <v>1</v>
      </c>
      <c r="AD28" s="378">
        <f>IF(J5=J9,AQ8,"")</f>
        <v>1</v>
      </c>
      <c r="AE28" s="382">
        <f>IF(J5=J10,AQ9,"")</f>
        <v>1</v>
      </c>
      <c r="AF28" s="384">
        <f>IF(AND(Z28="",AA28="",AB28="",AC28="",AD28="",AE28=""),0,IF(Y28&lt;SMALL(Z28:AE28,1),BP4,0))</f>
        <v>0</v>
      </c>
      <c r="AG28" s="395"/>
      <c r="AI28" s="335"/>
      <c r="AJ28" s="320">
        <f aca="true" t="shared" si="11" ref="AJ28:AJ33">IF(AND(J28=S28,J28&gt;0),1,"")</f>
      </c>
      <c r="AK28" s="318"/>
      <c r="AL28" s="294">
        <v>1</v>
      </c>
      <c r="AM28" s="588">
        <f>ROUNDDOWN(J5,0)</f>
        <v>0</v>
      </c>
      <c r="AN28" s="589">
        <f aca="true" t="shared" si="12" ref="AN28:AN33">IF(AJ28=1,AE5,0)</f>
        <v>0</v>
      </c>
      <c r="AO28" s="589">
        <f>IF(OR(AJ28=1,AND(AM28=AM29,AN29&gt;0),AND(AM28=AM30,AN30&gt;0),AND(AM28=AM31,AN31&gt;0),AND(AM28=AM32,AN32&gt;0),AND(AM28=AM33,AN33&gt;0)),0,AF28)</f>
        <v>0</v>
      </c>
      <c r="AP28" s="655">
        <f>AM28+AN28+AO28/100</f>
        <v>0</v>
      </c>
      <c r="AQ28" s="412">
        <f aca="true" t="shared" si="13" ref="AQ28:AQ33">RANK(AP28,AP$28:AP$33)</f>
        <v>1</v>
      </c>
      <c r="AR28" s="395"/>
      <c r="AS28" s="318"/>
      <c r="AT28" s="318"/>
      <c r="AU28" s="592"/>
      <c r="AV28" s="592"/>
      <c r="AW28" s="592"/>
      <c r="AX28" s="592"/>
      <c r="AY28" s="592"/>
      <c r="AZ28" s="592"/>
      <c r="BA28" s="592"/>
      <c r="BB28" s="592"/>
      <c r="BC28" s="592"/>
      <c r="BD28" s="592"/>
      <c r="BE28" s="592"/>
      <c r="BF28" s="592"/>
      <c r="BG28" s="592"/>
      <c r="BH28" s="592"/>
      <c r="BI28" s="592"/>
      <c r="BJ28" s="592"/>
      <c r="BK28" s="592"/>
      <c r="BL28" s="592"/>
      <c r="BM28" s="592"/>
      <c r="BN28" s="592"/>
      <c r="BO28" s="592"/>
      <c r="BP28" s="592"/>
      <c r="BQ28" s="592"/>
      <c r="BR28" s="592"/>
      <c r="BS28" s="592"/>
      <c r="BT28" s="592"/>
      <c r="BU28" s="592"/>
      <c r="BV28" s="592"/>
      <c r="BW28" s="592"/>
      <c r="BX28" s="592"/>
      <c r="BY28" s="592"/>
      <c r="BZ28" s="591"/>
    </row>
    <row r="29" spans="2:78" ht="15">
      <c r="B29" s="335"/>
      <c r="C29" s="302">
        <v>2</v>
      </c>
      <c r="D29" s="303">
        <f>IF(J6=J5,1,0)</f>
        <v>1</v>
      </c>
      <c r="E29" s="304"/>
      <c r="F29" s="305">
        <f>IF(J6=J7,1,0)</f>
        <v>1</v>
      </c>
      <c r="G29" s="305">
        <f>IF(J6=J8,1,0)</f>
        <v>1</v>
      </c>
      <c r="H29" s="305">
        <f>IF(J6=J9,1,0)</f>
        <v>1</v>
      </c>
      <c r="I29" s="323">
        <f>IF(J6=J10,1,0)</f>
        <v>1</v>
      </c>
      <c r="J29" s="339">
        <f>D29+F29+G29+H29+I29</f>
        <v>5</v>
      </c>
      <c r="K29" s="325"/>
      <c r="L29" s="302">
        <v>2</v>
      </c>
      <c r="M29" s="303">
        <f>IF(AND(J6=J5,D6=2),1,0)</f>
        <v>0</v>
      </c>
      <c r="N29" s="304"/>
      <c r="O29" s="305">
        <f>IF(AND(J6=J7,F6=2),1,0)</f>
        <v>0</v>
      </c>
      <c r="P29" s="305">
        <f>IF(AND(J6=J8,G6=2),1,0)</f>
        <v>0</v>
      </c>
      <c r="Q29" s="305">
        <f>IF(AND(J6=J9,H6=2),1,0)</f>
        <v>0</v>
      </c>
      <c r="R29" s="323">
        <f>IF(AND(J6=J10,I6=2),1,0)</f>
        <v>0</v>
      </c>
      <c r="S29" s="339">
        <f>M29+O29+P29+Q29+R29</f>
        <v>0</v>
      </c>
      <c r="T29" s="338"/>
      <c r="U29" s="318"/>
      <c r="V29" s="318"/>
      <c r="W29" s="335"/>
      <c r="X29" s="302">
        <v>2</v>
      </c>
      <c r="Y29" s="308">
        <f t="shared" si="10"/>
        <v>1</v>
      </c>
      <c r="Z29" s="388">
        <f>IF(J6=J5,AQ4,"")</f>
        <v>1</v>
      </c>
      <c r="AA29" s="304"/>
      <c r="AB29" s="379">
        <f>IF(J6=J7,AQ6,"")</f>
        <v>1</v>
      </c>
      <c r="AC29" s="379">
        <f>IF(J6=J8,AQ7,"")</f>
        <v>1</v>
      </c>
      <c r="AD29" s="379">
        <f>IF(J6=J9,AQ8,"")</f>
        <v>1</v>
      </c>
      <c r="AE29" s="383">
        <f>IF(J6=J10,AQ9,"")</f>
        <v>1</v>
      </c>
      <c r="AF29" s="385">
        <f>IF(AND(Z29="",AA29="",AB29="",AC29="",AD29="",AE29=""),0,IF(Y29&lt;SMALL(Z29:AE29,1),BP5,0))</f>
        <v>0</v>
      </c>
      <c r="AG29" s="395"/>
      <c r="AI29" s="335"/>
      <c r="AJ29" s="322">
        <f t="shared" si="11"/>
      </c>
      <c r="AK29" s="318"/>
      <c r="AL29" s="302">
        <v>2</v>
      </c>
      <c r="AM29" s="656">
        <f>ROUNDDOWN(J6,0)</f>
        <v>0</v>
      </c>
      <c r="AN29" s="393">
        <f t="shared" si="12"/>
        <v>0</v>
      </c>
      <c r="AO29" s="393">
        <f>IF(OR(AJ29=1,AND(AM29=AM28,AN28&gt;0),AND(AM29=AM30,AN30&gt;0),AND(AM29=AM31,AN31&gt;0),AND(AM29=AM32,AN32&gt;0),AND(AM29=AM33,AN33&gt;0)),0,AF29)</f>
        <v>0</v>
      </c>
      <c r="AP29" s="657">
        <f>AM29+AN29+AO29/100</f>
        <v>0</v>
      </c>
      <c r="AQ29" s="391">
        <f t="shared" si="13"/>
        <v>1</v>
      </c>
      <c r="AR29" s="395"/>
      <c r="AS29" s="318"/>
      <c r="AT29" s="318"/>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2"/>
      <c r="BT29" s="592"/>
      <c r="BU29" s="592"/>
      <c r="BV29" s="592"/>
      <c r="BW29" s="592"/>
      <c r="BX29" s="592"/>
      <c r="BY29" s="592"/>
      <c r="BZ29" s="591"/>
    </row>
    <row r="30" spans="2:78" ht="15">
      <c r="B30" s="335"/>
      <c r="C30" s="302">
        <v>3</v>
      </c>
      <c r="D30" s="303">
        <f>IF(J7=J5,1,0)</f>
        <v>1</v>
      </c>
      <c r="E30" s="305">
        <f>IF(J7=J6,1,0)</f>
        <v>1</v>
      </c>
      <c r="F30" s="304"/>
      <c r="G30" s="305">
        <f>IF(J7=J8,1,0)</f>
        <v>1</v>
      </c>
      <c r="H30" s="305">
        <f>IF(J7=J9,1,0)</f>
        <v>1</v>
      </c>
      <c r="I30" s="323">
        <f>IF(J7=J10,1,0)</f>
        <v>1</v>
      </c>
      <c r="J30" s="339">
        <f>D30+E30+G30+H30+I30</f>
        <v>5</v>
      </c>
      <c r="K30" s="325"/>
      <c r="L30" s="302">
        <v>3</v>
      </c>
      <c r="M30" s="303">
        <f>IF(AND(J7=J5,D7=2),1,0)</f>
        <v>0</v>
      </c>
      <c r="N30" s="305">
        <f>IF(AND(J7=J6,E7=2),1,0)</f>
        <v>0</v>
      </c>
      <c r="O30" s="304"/>
      <c r="P30" s="305">
        <f>IF(AND(J7=J8,G7=2),1,0)</f>
        <v>0</v>
      </c>
      <c r="Q30" s="305">
        <f>IF(AND(J7=J9,H7=2),1,0)</f>
        <v>0</v>
      </c>
      <c r="R30" s="323">
        <f>IF(AND(J7=J10,I7=2),1,0)</f>
        <v>0</v>
      </c>
      <c r="S30" s="339">
        <f>M30+N30+P30+Q30+R30</f>
        <v>0</v>
      </c>
      <c r="T30" s="338"/>
      <c r="U30" s="318"/>
      <c r="V30" s="318"/>
      <c r="W30" s="335"/>
      <c r="X30" s="302">
        <v>3</v>
      </c>
      <c r="Y30" s="308">
        <f t="shared" si="10"/>
        <v>1</v>
      </c>
      <c r="Z30" s="388">
        <f>IF(J7=J5,AQ4,"")</f>
        <v>1</v>
      </c>
      <c r="AA30" s="379">
        <f>IF(J7=J6,AQ5,"")</f>
        <v>1</v>
      </c>
      <c r="AB30" s="304"/>
      <c r="AC30" s="379">
        <f>IF(J7=J8,AQ7,"")</f>
        <v>1</v>
      </c>
      <c r="AD30" s="379">
        <f>IF(J7=J9,AQ8,"")</f>
        <v>1</v>
      </c>
      <c r="AE30" s="383">
        <f>IF(J7=J10,AQ9,"")</f>
        <v>1</v>
      </c>
      <c r="AF30" s="385">
        <f>IF(AND(Z30="",AA30="",AB30="",AC30="",AD30="",AE30=""),0,IF(Y30&lt;SMALL(Z30:AE30,1),BP6,0))</f>
        <v>0</v>
      </c>
      <c r="AG30" s="395"/>
      <c r="AI30" s="335"/>
      <c r="AJ30" s="322">
        <f t="shared" si="11"/>
      </c>
      <c r="AK30" s="318"/>
      <c r="AL30" s="302">
        <v>3</v>
      </c>
      <c r="AM30" s="656">
        <f>ROUNDDOWN(J7,0)</f>
        <v>0</v>
      </c>
      <c r="AN30" s="393">
        <f t="shared" si="12"/>
        <v>0</v>
      </c>
      <c r="AO30" s="393">
        <f>IF(OR(AJ30=1,AND(AM30=AM28,AN28&gt;0),AND(AM30=AM29,AN29&gt;0),AND(AM30=AM31,AN31&gt;0),AND(AM30=AM32,AN32&gt;0),AND(AM30=AM33,AN33&gt;0)),0,AF30)</f>
        <v>0</v>
      </c>
      <c r="AP30" s="657">
        <f>AM30+AN30+AO30/100</f>
        <v>0</v>
      </c>
      <c r="AQ30" s="391">
        <f t="shared" si="13"/>
        <v>1</v>
      </c>
      <c r="AR30" s="395"/>
      <c r="AS30" s="318"/>
      <c r="AT30" s="318"/>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1"/>
    </row>
    <row r="31" spans="2:78" ht="15">
      <c r="B31" s="335"/>
      <c r="C31" s="302">
        <v>4</v>
      </c>
      <c r="D31" s="303">
        <f>IF(J8=J5,1,0)</f>
        <v>1</v>
      </c>
      <c r="E31" s="305">
        <f>IF(J8=J6,1,0)</f>
        <v>1</v>
      </c>
      <c r="F31" s="305">
        <f>IF(J8=J7,1,0)</f>
        <v>1</v>
      </c>
      <c r="G31" s="304"/>
      <c r="H31" s="305">
        <f>IF(J8=J9,1,0)</f>
        <v>1</v>
      </c>
      <c r="I31" s="323">
        <f>IF(J8=J10,1,0)</f>
        <v>1</v>
      </c>
      <c r="J31" s="339">
        <f>D31+E31+F31+H31+I31</f>
        <v>5</v>
      </c>
      <c r="K31" s="325"/>
      <c r="L31" s="302">
        <v>4</v>
      </c>
      <c r="M31" s="303">
        <f>IF(AND(J8=J5,D8=2),1,0)</f>
        <v>0</v>
      </c>
      <c r="N31" s="305">
        <f>IF(AND(J8=J6,E8=2),1,0)</f>
        <v>0</v>
      </c>
      <c r="O31" s="305">
        <f>IF(AND(J8=J7,F8=2),1,0)</f>
        <v>0</v>
      </c>
      <c r="P31" s="304"/>
      <c r="Q31" s="305">
        <f>IF(AND(J8=J9,H8=2),1,0)</f>
        <v>0</v>
      </c>
      <c r="R31" s="323">
        <f>IF(AND(J8=J10,I8=2),1,0)</f>
        <v>0</v>
      </c>
      <c r="S31" s="339">
        <f>M31+N31+O31+Q31+R31</f>
        <v>0</v>
      </c>
      <c r="T31" s="340"/>
      <c r="U31" s="318"/>
      <c r="V31" s="318"/>
      <c r="W31" s="335"/>
      <c r="X31" s="302">
        <v>4</v>
      </c>
      <c r="Y31" s="308">
        <f t="shared" si="10"/>
        <v>1</v>
      </c>
      <c r="Z31" s="388">
        <f>IF(J8=J5,AQ4,"")</f>
        <v>1</v>
      </c>
      <c r="AA31" s="379">
        <f>IF(J8=J6,AQ5,"")</f>
        <v>1</v>
      </c>
      <c r="AB31" s="379">
        <f>IF(J8=J7,AQ6,"")</f>
        <v>1</v>
      </c>
      <c r="AC31" s="304"/>
      <c r="AD31" s="379">
        <f>IF(J8=J9,AQ8,"")</f>
        <v>1</v>
      </c>
      <c r="AE31" s="383">
        <f>IF(J8=J10,AQ9,"")</f>
        <v>1</v>
      </c>
      <c r="AF31" s="385">
        <f>IF(AND(Z31="",AA31="",AB31="",AC31="",AD31="",AE31=""),0,IF(Y31&lt;SMALL(Z31:AE31,1),BP7,0))</f>
        <v>0</v>
      </c>
      <c r="AG31" s="395"/>
      <c r="AI31" s="335"/>
      <c r="AJ31" s="322">
        <f t="shared" si="11"/>
      </c>
      <c r="AK31" s="318"/>
      <c r="AL31" s="359">
        <v>4</v>
      </c>
      <c r="AM31" s="656">
        <f>ROUNDDOWN(J8,0)</f>
        <v>0</v>
      </c>
      <c r="AN31" s="393">
        <f t="shared" si="12"/>
        <v>0</v>
      </c>
      <c r="AO31" s="393">
        <f>IF(OR(AJ31=1,AND(AM31=AM28,AN28&gt;0),AND(AM31=AM29,AN29&gt;0),AND(AM31=AM30,AN30&gt;0),AND(AM31=AM32,AN32&gt;0),AND(AM31=AM33,AN33&gt;0)),0,AF31)</f>
        <v>0</v>
      </c>
      <c r="AP31" s="657">
        <f>AM31+AN31+AO31/100</f>
        <v>0</v>
      </c>
      <c r="AQ31" s="391">
        <f t="shared" si="13"/>
        <v>1</v>
      </c>
      <c r="AR31" s="395"/>
      <c r="AS31" s="318"/>
      <c r="AT31" s="318"/>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1"/>
    </row>
    <row r="32" spans="2:78" ht="15">
      <c r="B32" s="335"/>
      <c r="C32" s="302">
        <v>5</v>
      </c>
      <c r="D32" s="303">
        <f>IF(J9=J5,1,0)</f>
        <v>1</v>
      </c>
      <c r="E32" s="305">
        <f>IF(J9=J6,1,0)</f>
        <v>1</v>
      </c>
      <c r="F32" s="305">
        <f>IF(J9=J7,1,0)</f>
        <v>1</v>
      </c>
      <c r="G32" s="305">
        <f>IF(J9=J8,1,0)</f>
        <v>1</v>
      </c>
      <c r="H32" s="304"/>
      <c r="I32" s="323">
        <f>IF(J9=J10,1,0)</f>
        <v>1</v>
      </c>
      <c r="J32" s="341">
        <f>D32+E32+F32+G32+I32</f>
        <v>5</v>
      </c>
      <c r="K32" s="325"/>
      <c r="L32" s="302">
        <v>5</v>
      </c>
      <c r="M32" s="303">
        <f>IF(AND(J9=J5,D9=2),1,0)</f>
        <v>0</v>
      </c>
      <c r="N32" s="305">
        <f>IF(AND(J9=J6,E9=2),1,0)</f>
        <v>0</v>
      </c>
      <c r="O32" s="305">
        <f>IF(AND(J9=J7,F9=2),1,0)</f>
        <v>0</v>
      </c>
      <c r="P32" s="305">
        <f>IF(AND(J9=J8,G9=2),1,0)</f>
        <v>0</v>
      </c>
      <c r="Q32" s="304"/>
      <c r="R32" s="323">
        <f>IF(AND(J9=J10,I9=2),1,0)</f>
        <v>0</v>
      </c>
      <c r="S32" s="341">
        <f>M32+N32+O32+P32+R32</f>
        <v>0</v>
      </c>
      <c r="T32" s="342"/>
      <c r="U32" s="318"/>
      <c r="V32" s="318"/>
      <c r="W32" s="335"/>
      <c r="X32" s="302">
        <v>5</v>
      </c>
      <c r="Y32" s="308">
        <f t="shared" si="10"/>
        <v>1</v>
      </c>
      <c r="Z32" s="388">
        <f>IF(J9=J5,AQ4,"")</f>
        <v>1</v>
      </c>
      <c r="AA32" s="379">
        <f>IF(J9=J6,AQ5,"")</f>
        <v>1</v>
      </c>
      <c r="AB32" s="379">
        <f>IF(J9=J7,AQ6,"")</f>
        <v>1</v>
      </c>
      <c r="AC32" s="379">
        <f>IF(J9=J8,AQ7,"")</f>
        <v>1</v>
      </c>
      <c r="AD32" s="304"/>
      <c r="AE32" s="383">
        <f>IF(J9=J10,AQ9,"")</f>
        <v>1</v>
      </c>
      <c r="AF32" s="385">
        <f>IF(AND(Z32="",AA32="",AB32="",AC32="",AD32="",AE32=""),0,IF(Y32&lt;SMALL(Z32:AE32,1),BP8,0))</f>
        <v>0</v>
      </c>
      <c r="AG32" s="395"/>
      <c r="AI32" s="335"/>
      <c r="AJ32" s="322">
        <f t="shared" si="11"/>
      </c>
      <c r="AK32" s="318"/>
      <c r="AL32" s="360">
        <v>5</v>
      </c>
      <c r="AM32" s="656">
        <f>ROUNDDOWN(J9,0)</f>
        <v>0</v>
      </c>
      <c r="AN32" s="393">
        <f t="shared" si="12"/>
        <v>0</v>
      </c>
      <c r="AO32" s="393">
        <f>IF(OR(AJ32=1,AND(AM32=AM28,AN28&gt;0),AND(AM32=AM29,AN29&gt;0),AND(AM32=AM30,AN30&gt;0),AND(AM32=AM31,AN31&gt;0),AND(AM32=AM33,AN33&gt;0)),0,AF32)</f>
        <v>0</v>
      </c>
      <c r="AP32" s="657">
        <f>AM32+AN32+AO32/100</f>
        <v>0</v>
      </c>
      <c r="AQ32" s="391">
        <f t="shared" si="13"/>
        <v>1</v>
      </c>
      <c r="AR32" s="395"/>
      <c r="AS32" s="318"/>
      <c r="AT32" s="318"/>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1"/>
    </row>
    <row r="33" spans="2:78" ht="15.75" thickBot="1">
      <c r="B33" s="335"/>
      <c r="C33" s="310">
        <v>6</v>
      </c>
      <c r="D33" s="311">
        <f>IF(J10=J5,1,0)</f>
        <v>1</v>
      </c>
      <c r="E33" s="312">
        <f>IF(J10=J6,1,0)</f>
        <v>1</v>
      </c>
      <c r="F33" s="312">
        <f>IF(J10=J7,1,0)</f>
        <v>1</v>
      </c>
      <c r="G33" s="312">
        <f>IF(J10=J8,1,0)</f>
        <v>1</v>
      </c>
      <c r="H33" s="312">
        <f>IF(J10=J9,1,0)</f>
        <v>1</v>
      </c>
      <c r="I33" s="343"/>
      <c r="J33" s="344">
        <f>D33+E33+F33+G33+H33</f>
        <v>5</v>
      </c>
      <c r="K33" s="325"/>
      <c r="L33" s="310">
        <v>6</v>
      </c>
      <c r="M33" s="311">
        <f>IF(AND(J10=J5,D10=2),1,0)</f>
        <v>0</v>
      </c>
      <c r="N33" s="312">
        <f>IF(AND(J10=J6,E10=2),1,0)</f>
        <v>0</v>
      </c>
      <c r="O33" s="312">
        <f>IF(AND(J10=J7,F10=2),1,0)</f>
        <v>0</v>
      </c>
      <c r="P33" s="312">
        <f>IF(AND(J10=J8,G10=2),1,0)</f>
        <v>0</v>
      </c>
      <c r="Q33" s="312">
        <f>IF(AND(J10=J9,H10=2),1,0)</f>
        <v>0</v>
      </c>
      <c r="R33" s="343"/>
      <c r="S33" s="344">
        <f>M33+N33+O33+P33+Q33</f>
        <v>0</v>
      </c>
      <c r="T33" s="342"/>
      <c r="U33" s="318"/>
      <c r="V33" s="318"/>
      <c r="W33" s="335"/>
      <c r="X33" s="310">
        <v>6</v>
      </c>
      <c r="Y33" s="315">
        <f t="shared" si="10"/>
        <v>1</v>
      </c>
      <c r="Z33" s="389">
        <f>IF(J10=J5,AQ4,"")</f>
        <v>1</v>
      </c>
      <c r="AA33" s="380">
        <f>IF(J10=J6,AQ5,"")</f>
        <v>1</v>
      </c>
      <c r="AB33" s="380">
        <f>IF(J10=J7,AQ6,"")</f>
        <v>1</v>
      </c>
      <c r="AC33" s="380">
        <f>IF(J10=J8,AQ7,"")</f>
        <v>1</v>
      </c>
      <c r="AD33" s="380">
        <f>IF(J10=J9,AQ8,"")</f>
        <v>1</v>
      </c>
      <c r="AE33" s="313"/>
      <c r="AF33" s="386">
        <f>IF(AND(Z33="",AA33="",AB33="",AC33="",AD33="",AE33=""),0,IF(Y33&lt;SMALL(Z33:AE33,1),BP9,0))</f>
        <v>0</v>
      </c>
      <c r="AG33" s="395"/>
      <c r="AI33" s="335"/>
      <c r="AJ33" s="326">
        <f t="shared" si="11"/>
      </c>
      <c r="AK33" s="318"/>
      <c r="AL33" s="361">
        <v>6</v>
      </c>
      <c r="AM33" s="658">
        <f>ROUNDDOWN(J10,0)</f>
        <v>0</v>
      </c>
      <c r="AN33" s="394">
        <f t="shared" si="12"/>
        <v>0</v>
      </c>
      <c r="AO33" s="394">
        <f>IF(OR(AJ33=1,AND(AM33=AM28,AN28&gt;0),AND(AM33=AM29,AN29&gt;0),AND(AM33=AM30,AN30&gt;0),AND(AM33=AM31,AN31&gt;0),AND(AM33=AM32,AN32&gt;0)),0,AF33)</f>
        <v>0</v>
      </c>
      <c r="AP33" s="659">
        <f>AM33+AN33+AO33/100</f>
        <v>0</v>
      </c>
      <c r="AQ33" s="392">
        <f t="shared" si="13"/>
        <v>1</v>
      </c>
      <c r="AR33" s="395"/>
      <c r="AS33" s="318"/>
      <c r="AT33" s="318"/>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1"/>
    </row>
    <row r="34" spans="2:77" ht="15.75" thickBot="1">
      <c r="B34" s="345"/>
      <c r="C34" s="346"/>
      <c r="D34" s="346"/>
      <c r="E34" s="346"/>
      <c r="F34" s="347"/>
      <c r="G34" s="346"/>
      <c r="H34" s="346"/>
      <c r="I34" s="346"/>
      <c r="J34" s="346"/>
      <c r="K34" s="346"/>
      <c r="L34" s="346"/>
      <c r="M34" s="346"/>
      <c r="N34" s="346"/>
      <c r="O34" s="346"/>
      <c r="P34" s="346"/>
      <c r="Q34" s="346"/>
      <c r="R34" s="346"/>
      <c r="S34" s="346"/>
      <c r="T34" s="293"/>
      <c r="V34" s="318"/>
      <c r="W34" s="345"/>
      <c r="X34" s="346"/>
      <c r="Y34" s="346"/>
      <c r="Z34" s="346"/>
      <c r="AA34" s="346"/>
      <c r="AB34" s="346"/>
      <c r="AC34" s="346"/>
      <c r="AD34" s="346"/>
      <c r="AE34" s="346"/>
      <c r="AF34" s="346"/>
      <c r="AG34" s="293"/>
      <c r="AI34" s="345"/>
      <c r="AJ34" s="348"/>
      <c r="AK34" s="396"/>
      <c r="AL34" s="348"/>
      <c r="AM34" s="348"/>
      <c r="AN34" s="348"/>
      <c r="AO34" s="348"/>
      <c r="AP34" s="348"/>
      <c r="AQ34" s="348"/>
      <c r="AR34" s="293"/>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row>
    <row r="35" spans="3:45" ht="15">
      <c r="C35" s="284"/>
      <c r="D35" s="318"/>
      <c r="E35" s="325"/>
      <c r="F35" s="327"/>
      <c r="G35" s="325"/>
      <c r="H35" s="325"/>
      <c r="I35" s="325"/>
      <c r="J35" s="325"/>
      <c r="K35" s="325"/>
      <c r="L35" s="328"/>
      <c r="O35" s="284"/>
      <c r="T35" s="325"/>
      <c r="U35" s="325"/>
      <c r="V35" s="318"/>
      <c r="W35" s="318"/>
      <c r="AJ35" s="325"/>
      <c r="AK35" s="327"/>
      <c r="AL35" s="325"/>
      <c r="AM35" s="325"/>
      <c r="AN35" s="325"/>
      <c r="AO35" s="325"/>
      <c r="AP35" s="325"/>
      <c r="AQ35" s="325"/>
      <c r="AR35" s="318"/>
      <c r="AS35" s="318"/>
    </row>
    <row r="36" spans="2:23" ht="15">
      <c r="B36" s="284" t="s">
        <v>184</v>
      </c>
      <c r="C36" s="284"/>
      <c r="D36" s="318"/>
      <c r="E36" s="325"/>
      <c r="F36" s="327"/>
      <c r="G36" s="325"/>
      <c r="H36" s="325"/>
      <c r="I36" s="325"/>
      <c r="J36" s="325"/>
      <c r="K36" s="325"/>
      <c r="L36" s="328"/>
      <c r="O36" s="284"/>
      <c r="T36" s="325"/>
      <c r="U36" s="325"/>
      <c r="V36" s="318"/>
      <c r="W36" s="318"/>
    </row>
    <row r="37" spans="3:36" ht="16.5" thickBot="1">
      <c r="C37" s="319" t="s">
        <v>207</v>
      </c>
      <c r="L37" s="328" t="s">
        <v>206</v>
      </c>
      <c r="O37" s="284"/>
      <c r="T37" s="325"/>
      <c r="U37" s="325"/>
      <c r="V37" s="318"/>
      <c r="W37" s="318"/>
      <c r="X37" s="284" t="s">
        <v>203</v>
      </c>
      <c r="AJ37" s="415" t="s">
        <v>182</v>
      </c>
    </row>
    <row r="38" spans="2:46" ht="15.75" thickBot="1">
      <c r="B38" s="329"/>
      <c r="C38" s="330"/>
      <c r="D38" s="330"/>
      <c r="E38" s="331"/>
      <c r="F38" s="332"/>
      <c r="G38" s="331"/>
      <c r="H38" s="331"/>
      <c r="I38" s="331"/>
      <c r="J38" s="331"/>
      <c r="K38" s="331"/>
      <c r="L38" s="330"/>
      <c r="M38" s="330"/>
      <c r="N38" s="330"/>
      <c r="O38" s="333"/>
      <c r="P38" s="330"/>
      <c r="Q38" s="330"/>
      <c r="R38" s="333"/>
      <c r="S38" s="330"/>
      <c r="T38" s="334"/>
      <c r="U38" s="325"/>
      <c r="V38" s="318"/>
      <c r="W38" s="329"/>
      <c r="X38" s="330"/>
      <c r="Y38" s="330"/>
      <c r="Z38" s="330"/>
      <c r="AA38" s="330"/>
      <c r="AB38" s="330"/>
      <c r="AC38" s="330"/>
      <c r="AD38" s="330"/>
      <c r="AE38" s="330"/>
      <c r="AF38" s="330"/>
      <c r="AG38" s="399"/>
      <c r="AI38" s="329"/>
      <c r="AJ38" s="410"/>
      <c r="AK38" s="330"/>
      <c r="AL38" s="330"/>
      <c r="AM38" s="330"/>
      <c r="AN38" s="333"/>
      <c r="AO38" s="330"/>
      <c r="AP38" s="330"/>
      <c r="AQ38" s="330"/>
      <c r="AR38" s="399"/>
      <c r="AS38" s="318"/>
      <c r="AT38" s="377"/>
    </row>
    <row r="39" spans="2:46" ht="15.75" thickBot="1">
      <c r="B39" s="335"/>
      <c r="C39" s="286"/>
      <c r="D39" s="287">
        <v>1</v>
      </c>
      <c r="E39" s="288">
        <v>2</v>
      </c>
      <c r="F39" s="288">
        <v>3</v>
      </c>
      <c r="G39" s="288">
        <v>4</v>
      </c>
      <c r="H39" s="288">
        <v>5</v>
      </c>
      <c r="I39" s="289">
        <v>6</v>
      </c>
      <c r="J39" s="334" t="s">
        <v>182</v>
      </c>
      <c r="K39" s="325"/>
      <c r="L39" s="286"/>
      <c r="M39" s="287">
        <v>1</v>
      </c>
      <c r="N39" s="288">
        <v>2</v>
      </c>
      <c r="O39" s="288">
        <v>3</v>
      </c>
      <c r="P39" s="288">
        <v>4</v>
      </c>
      <c r="Q39" s="288">
        <v>5</v>
      </c>
      <c r="R39" s="289">
        <v>6</v>
      </c>
      <c r="S39" s="334" t="s">
        <v>182</v>
      </c>
      <c r="T39" s="336"/>
      <c r="U39" s="325"/>
      <c r="V39" s="318"/>
      <c r="W39" s="335"/>
      <c r="X39" s="286"/>
      <c r="Y39" s="390" t="s">
        <v>195</v>
      </c>
      <c r="Z39" s="287">
        <v>1</v>
      </c>
      <c r="AA39" s="288">
        <v>2</v>
      </c>
      <c r="AB39" s="288">
        <v>3</v>
      </c>
      <c r="AC39" s="288">
        <v>4</v>
      </c>
      <c r="AD39" s="288">
        <v>5</v>
      </c>
      <c r="AE39" s="289">
        <v>6</v>
      </c>
      <c r="AF39" s="334"/>
      <c r="AG39" s="395"/>
      <c r="AI39" s="335"/>
      <c r="AJ39" s="413" t="s">
        <v>201</v>
      </c>
      <c r="AK39" s="318"/>
      <c r="AL39" s="286"/>
      <c r="AM39" s="653" t="s">
        <v>198</v>
      </c>
      <c r="AN39" s="654" t="s">
        <v>196</v>
      </c>
      <c r="AO39" s="654" t="s">
        <v>197</v>
      </c>
      <c r="AP39" s="596" t="s">
        <v>210</v>
      </c>
      <c r="AQ39" s="413" t="s">
        <v>104</v>
      </c>
      <c r="AR39" s="409"/>
      <c r="AS39" s="377"/>
      <c r="AT39" s="318"/>
    </row>
    <row r="40" spans="2:46" ht="15">
      <c r="B40" s="335"/>
      <c r="C40" s="294">
        <v>1</v>
      </c>
      <c r="D40" s="295"/>
      <c r="E40" s="296">
        <f>IF(AP28=AP29,1,0)</f>
        <v>1</v>
      </c>
      <c r="F40" s="296">
        <f>IF(AP28=AP30,1,0)</f>
        <v>1</v>
      </c>
      <c r="G40" s="296">
        <f>IF(AP28=AP31,1,0)</f>
        <v>1</v>
      </c>
      <c r="H40" s="296">
        <f>IF(AP28=AP32,1,0)</f>
        <v>1</v>
      </c>
      <c r="I40" s="321">
        <f>IF(AP28=AP33,1,0)</f>
        <v>1</v>
      </c>
      <c r="J40" s="337">
        <f>E40+F40+G40+H40+I40</f>
        <v>5</v>
      </c>
      <c r="K40" s="325"/>
      <c r="L40" s="294">
        <v>1</v>
      </c>
      <c r="M40" s="295"/>
      <c r="N40" s="296">
        <f>IF(AND(AP28=AP29,E5=2),1,0)</f>
        <v>0</v>
      </c>
      <c r="O40" s="296">
        <f>IF(AND(AP28=AP30,F5=2),1,0)</f>
        <v>0</v>
      </c>
      <c r="P40" s="296">
        <f>IF(AND(AP28=AP31,G5=2),1,0)</f>
        <v>0</v>
      </c>
      <c r="Q40" s="296">
        <f>IF(AND(AP28=AP32,H5=2),1,0)</f>
        <v>0</v>
      </c>
      <c r="R40" s="321">
        <f>IF(AND(AP28=AP33,I5=2),1,0)</f>
        <v>0</v>
      </c>
      <c r="S40" s="337">
        <f>N40+O40+P40+Q40+R40</f>
        <v>0</v>
      </c>
      <c r="T40" s="338"/>
      <c r="U40" s="318"/>
      <c r="V40" s="318"/>
      <c r="W40" s="335"/>
      <c r="X40" s="294">
        <v>1</v>
      </c>
      <c r="Y40" s="362">
        <f aca="true" t="shared" si="14" ref="Y40:Y45">AQ4</f>
        <v>1</v>
      </c>
      <c r="Z40" s="387"/>
      <c r="AA40" s="378">
        <f>IF($AP28=$AP29,$AQ5,"")</f>
        <v>1</v>
      </c>
      <c r="AB40" s="378">
        <f>IF($AP28=AP30,AQ6,"")</f>
        <v>1</v>
      </c>
      <c r="AC40" s="378">
        <f>IF($AP28=AP31,AQ7,"")</f>
        <v>1</v>
      </c>
      <c r="AD40" s="378">
        <f>IF($AP28=AP32,AQ8,"")</f>
        <v>1</v>
      </c>
      <c r="AE40" s="382">
        <f>IF($AP28=AP33,AQ9,"")</f>
        <v>1</v>
      </c>
      <c r="AF40" s="384">
        <f>IF(AND(Z40="",AA40="",AB40="",AC40="",AD40="",AE40=""),0,IF(Y40&lt;SMALL(Z40:AE40,1),BP4,0))</f>
        <v>0</v>
      </c>
      <c r="AG40" s="395"/>
      <c r="AI40" s="335"/>
      <c r="AJ40" s="320">
        <f aca="true" t="shared" si="15" ref="AJ40:AJ45">IF(AND(J40=S40,J40&gt;0),1,"")</f>
      </c>
      <c r="AK40" s="318"/>
      <c r="AL40" s="294">
        <v>1</v>
      </c>
      <c r="AM40" s="660">
        <f aca="true" t="shared" si="16" ref="AM40:AM45">AP28</f>
        <v>0</v>
      </c>
      <c r="AN40" s="661">
        <f>IF(AJ40=1,AE5,0)</f>
        <v>0</v>
      </c>
      <c r="AO40" s="589">
        <f>IF(OR(AJ40=1,AND(AM40=AM41,AN41&gt;0),AND(AM40=AM42,AN42&gt;0),AND(AM40=AM43,AN43&gt;0),AND(AM40=AM44,AN44&gt;0),AND(AM40=AM45,AN45&gt;0)),0,AF40)</f>
        <v>0</v>
      </c>
      <c r="AP40" s="662">
        <f>AM40+AN40/100+AO40/10000</f>
        <v>0</v>
      </c>
      <c r="AQ40" s="412">
        <f aca="true" t="shared" si="17" ref="AQ40:AQ45">RANK(AP40,AP$40:AP$45)</f>
        <v>1</v>
      </c>
      <c r="AR40" s="395"/>
      <c r="AS40" s="318"/>
      <c r="AT40" s="318"/>
    </row>
    <row r="41" spans="2:46" ht="15">
      <c r="B41" s="335"/>
      <c r="C41" s="302">
        <v>2</v>
      </c>
      <c r="D41" s="303">
        <f>IF(AP29=AP28,1,0)</f>
        <v>1</v>
      </c>
      <c r="E41" s="304"/>
      <c r="F41" s="305">
        <f>IF(AP29=AP30,1,0)</f>
        <v>1</v>
      </c>
      <c r="G41" s="305">
        <f>IF(AP29=AP31,1,0)</f>
        <v>1</v>
      </c>
      <c r="H41" s="305">
        <f>IF(AP29=AP32,1,0)</f>
        <v>1</v>
      </c>
      <c r="I41" s="323">
        <f>IF(AP29=AP33,1,0)</f>
        <v>1</v>
      </c>
      <c r="J41" s="339">
        <f>D41+F41+G41+H41+I41</f>
        <v>5</v>
      </c>
      <c r="K41" s="325"/>
      <c r="L41" s="302">
        <v>2</v>
      </c>
      <c r="M41" s="303">
        <f>IF(AND(AP29=AP28,D6=2),1,0)</f>
        <v>0</v>
      </c>
      <c r="N41" s="304"/>
      <c r="O41" s="305">
        <f>IF(AND(AP29=AP30,F6=2),1,0)</f>
        <v>0</v>
      </c>
      <c r="P41" s="305">
        <f>IF(AND(AP29=AP31,G6=2),1,0)</f>
        <v>0</v>
      </c>
      <c r="Q41" s="305">
        <f>IF(AND(AP29=AP32,H6=2),1,0)</f>
        <v>0</v>
      </c>
      <c r="R41" s="323">
        <f>IF(AND(AP29=AP33,I6=2),1,0)</f>
        <v>0</v>
      </c>
      <c r="S41" s="339">
        <f>M41+O41+P41+Q41+R41</f>
        <v>0</v>
      </c>
      <c r="T41" s="338"/>
      <c r="U41" s="318"/>
      <c r="V41" s="318"/>
      <c r="W41" s="335"/>
      <c r="X41" s="302">
        <v>2</v>
      </c>
      <c r="Y41" s="308">
        <f t="shared" si="14"/>
        <v>1</v>
      </c>
      <c r="Z41" s="388">
        <f>IF($AP29=AP28,AQ4,"")</f>
        <v>1</v>
      </c>
      <c r="AA41" s="304"/>
      <c r="AB41" s="379">
        <f>IF($AP29=AP30,AQ6,"")</f>
        <v>1</v>
      </c>
      <c r="AC41" s="379">
        <f>IF($AP29=AP31,AQ7,"")</f>
        <v>1</v>
      </c>
      <c r="AD41" s="379">
        <f>IF($AP29=AP32,AQ8,"")</f>
        <v>1</v>
      </c>
      <c r="AE41" s="383">
        <f>IF($AP29=AP33,AQ9,"")</f>
        <v>1</v>
      </c>
      <c r="AF41" s="385">
        <f>IF(AND(Z41="",AA41="",AB41="",AC41="",AD41="",AE41=""),0,IF(Y41&lt;SMALL(Z41:AE41,1),BP5,0))</f>
        <v>0</v>
      </c>
      <c r="AG41" s="395"/>
      <c r="AI41" s="335"/>
      <c r="AJ41" s="322">
        <f t="shared" si="15"/>
      </c>
      <c r="AK41" s="318"/>
      <c r="AL41" s="302">
        <v>2</v>
      </c>
      <c r="AM41" s="404">
        <f t="shared" si="16"/>
        <v>0</v>
      </c>
      <c r="AN41" s="397">
        <f>IF(AJ41=1,AE6,0)</f>
        <v>0</v>
      </c>
      <c r="AO41" s="393">
        <f>IF(OR(AJ41=1,AND(AM41=AM40,AN40&gt;0),AND(AM41=AM42,AN42&gt;0),AND(AM41=AM43,AN43&gt;0),AND(AM41=AM44,AN44&gt;0),AND(AM41=AM45,AN45&gt;0)),0,AF41)</f>
        <v>0</v>
      </c>
      <c r="AP41" s="663">
        <f>AM41+AN41/100+AO41/10000</f>
        <v>0</v>
      </c>
      <c r="AQ41" s="391">
        <f t="shared" si="17"/>
        <v>1</v>
      </c>
      <c r="AR41" s="395"/>
      <c r="AS41" s="318"/>
      <c r="AT41" s="318"/>
    </row>
    <row r="42" spans="2:46" ht="15">
      <c r="B42" s="335"/>
      <c r="C42" s="302">
        <v>3</v>
      </c>
      <c r="D42" s="303">
        <f>IF(AP30=AP28,1,0)</f>
        <v>1</v>
      </c>
      <c r="E42" s="305">
        <f>IF(AP30=AP29,1,0)</f>
        <v>1</v>
      </c>
      <c r="F42" s="304"/>
      <c r="G42" s="305">
        <f>IF(AP30=AP31,1,0)</f>
        <v>1</v>
      </c>
      <c r="H42" s="305">
        <f>IF(AP30=AP32,1,0)</f>
        <v>1</v>
      </c>
      <c r="I42" s="323">
        <f>IF(AP30=AP33,1,0)</f>
        <v>1</v>
      </c>
      <c r="J42" s="339">
        <f>D42+E42+G42+H42+I42</f>
        <v>5</v>
      </c>
      <c r="K42" s="325"/>
      <c r="L42" s="302">
        <v>3</v>
      </c>
      <c r="M42" s="303">
        <f>IF(AND(AP30=AP28,D7=2),1,0)</f>
        <v>0</v>
      </c>
      <c r="N42" s="305">
        <f>IF(AND(AP30=AP29,E7=2),1,0)</f>
        <v>0</v>
      </c>
      <c r="O42" s="304"/>
      <c r="P42" s="305">
        <f>IF(AND(AP30=AP31,G7=2),1,0)</f>
        <v>0</v>
      </c>
      <c r="Q42" s="305">
        <f>IF(AND(AP30=AP32,H7=2),1,0)</f>
        <v>0</v>
      </c>
      <c r="R42" s="323">
        <f>IF(AND(AP30=AP33,I7=2),1,0)</f>
        <v>0</v>
      </c>
      <c r="S42" s="339">
        <f>M42+N42+P42+Q42+R42</f>
        <v>0</v>
      </c>
      <c r="T42" s="338"/>
      <c r="U42" s="318"/>
      <c r="V42" s="318"/>
      <c r="W42" s="335"/>
      <c r="X42" s="302">
        <v>3</v>
      </c>
      <c r="Y42" s="308">
        <f t="shared" si="14"/>
        <v>1</v>
      </c>
      <c r="Z42" s="388">
        <f>IF($AP30=AP28,AQ4,"")</f>
        <v>1</v>
      </c>
      <c r="AA42" s="379">
        <f>IF($AP30=AP29,AQ5,"")</f>
        <v>1</v>
      </c>
      <c r="AB42" s="304"/>
      <c r="AC42" s="379">
        <f>IF($AP30=AP31,AQ7,"")</f>
        <v>1</v>
      </c>
      <c r="AD42" s="379">
        <f>IF($AP30=AP32,AQ8,"")</f>
        <v>1</v>
      </c>
      <c r="AE42" s="383">
        <f>IF($AP30=AP33,AQ9,"")</f>
        <v>1</v>
      </c>
      <c r="AF42" s="385">
        <f>IF(AND(Z42="",AA42="",AB42="",AC42="",AD42="",AE42=""),0,IF(Y42&lt;SMALL(Z42:AE42,1),BP6,0))</f>
        <v>0</v>
      </c>
      <c r="AG42" s="395"/>
      <c r="AI42" s="335"/>
      <c r="AJ42" s="322">
        <f t="shared" si="15"/>
      </c>
      <c r="AK42" s="318"/>
      <c r="AL42" s="302">
        <v>3</v>
      </c>
      <c r="AM42" s="404">
        <f t="shared" si="16"/>
        <v>0</v>
      </c>
      <c r="AN42" s="397">
        <f>IF(AJ42=1,AE7,0)</f>
        <v>0</v>
      </c>
      <c r="AO42" s="393">
        <f>IF(OR(AJ42=1,AND(AM42=AM40,AN40&gt;0),AND(AM42=AM41,AN41&gt;0),AND(AM42=AM43,AN43&gt;0),AND(AM42=AM44,AN44&gt;0),AND(AM42=AM45,AN45&gt;0)),0,AF42)</f>
        <v>0</v>
      </c>
      <c r="AP42" s="663">
        <f>AM42+AN42/100+AO42/10000</f>
        <v>0</v>
      </c>
      <c r="AQ42" s="391">
        <f t="shared" si="17"/>
        <v>1</v>
      </c>
      <c r="AR42" s="395"/>
      <c r="AS42" s="318"/>
      <c r="AT42" s="318"/>
    </row>
    <row r="43" spans="2:46" ht="15">
      <c r="B43" s="335"/>
      <c r="C43" s="302">
        <v>4</v>
      </c>
      <c r="D43" s="303">
        <f>IF(AP31=AP28,1,0)</f>
        <v>1</v>
      </c>
      <c r="E43" s="305">
        <f>IF(AP31=AP29,1,0)</f>
        <v>1</v>
      </c>
      <c r="F43" s="305">
        <f>IF(AP31=AP30,1,0)</f>
        <v>1</v>
      </c>
      <c r="G43" s="304"/>
      <c r="H43" s="305">
        <f>IF(AP31=AP32,1,0)</f>
        <v>1</v>
      </c>
      <c r="I43" s="323">
        <f>IF(AP31=AP33,1,0)</f>
        <v>1</v>
      </c>
      <c r="J43" s="339">
        <f>D43+E43+F43+H43+I43</f>
        <v>5</v>
      </c>
      <c r="K43" s="325"/>
      <c r="L43" s="302">
        <v>4</v>
      </c>
      <c r="M43" s="303">
        <f>IF(AND(AP31=AP28,D8=2),1,0)</f>
        <v>0</v>
      </c>
      <c r="N43" s="305">
        <f>IF(AND(AP31=AP29,E8=2),1,0)</f>
        <v>0</v>
      </c>
      <c r="O43" s="305">
        <f>IF(AND(AP31=AP30,F8=2),1,0)</f>
        <v>0</v>
      </c>
      <c r="P43" s="304"/>
      <c r="Q43" s="305">
        <f>IF(AND(AP31=AP32,H8=2),1,0)</f>
        <v>0</v>
      </c>
      <c r="R43" s="323">
        <f>IF(AND(AP31=AP33,I8=2),1,0)</f>
        <v>0</v>
      </c>
      <c r="S43" s="339">
        <f>M43+N43+O43+Q43+R43</f>
        <v>0</v>
      </c>
      <c r="T43" s="340"/>
      <c r="U43" s="318"/>
      <c r="V43" s="318"/>
      <c r="W43" s="335"/>
      <c r="X43" s="302">
        <v>4</v>
      </c>
      <c r="Y43" s="308">
        <f t="shared" si="14"/>
        <v>1</v>
      </c>
      <c r="Z43" s="388">
        <f>IF($AP31=AP28,AQ4,"")</f>
        <v>1</v>
      </c>
      <c r="AA43" s="379">
        <f>IF($AP31=AP29,AQ5,"")</f>
        <v>1</v>
      </c>
      <c r="AB43" s="379">
        <f>IF($AP31=AP30,AQ6,"")</f>
        <v>1</v>
      </c>
      <c r="AC43" s="304"/>
      <c r="AD43" s="379">
        <f>IF($AP31=AP32,AQ8,"")</f>
        <v>1</v>
      </c>
      <c r="AE43" s="383">
        <f>IF($AP31=AP33,AQ9,"")</f>
        <v>1</v>
      </c>
      <c r="AF43" s="385">
        <f>IF(AND(Z43="",AA43="",AB43="",AC43="",AD43="",AE43=""),0,IF(Y43&lt;SMALL(Z43:AE43,1),BP7,0))</f>
        <v>0</v>
      </c>
      <c r="AG43" s="395"/>
      <c r="AI43" s="335"/>
      <c r="AJ43" s="322">
        <f t="shared" si="15"/>
      </c>
      <c r="AK43" s="324"/>
      <c r="AL43" s="359">
        <v>4</v>
      </c>
      <c r="AM43" s="404">
        <f t="shared" si="16"/>
        <v>0</v>
      </c>
      <c r="AN43" s="397">
        <f>IF(AJ43=1,AE8,0)</f>
        <v>0</v>
      </c>
      <c r="AO43" s="393">
        <f>IF(OR(AJ43=1,AND(AM43=AM40,AN40&gt;0),AND(AM43=AM41,AN41&gt;0),AND(AM43=AM42,AN42&gt;0),AND(AM43=AM44,AN44&gt;0),AND(AM43=AM45,AN45&gt;0)),0,AF43)</f>
        <v>0</v>
      </c>
      <c r="AP43" s="663">
        <f>AM43+AN43/100+AO43/10000</f>
        <v>0</v>
      </c>
      <c r="AQ43" s="391">
        <f t="shared" si="17"/>
        <v>1</v>
      </c>
      <c r="AR43" s="395"/>
      <c r="AS43" s="318"/>
      <c r="AT43" s="318"/>
    </row>
    <row r="44" spans="2:46" ht="15">
      <c r="B44" s="335"/>
      <c r="C44" s="302">
        <v>5</v>
      </c>
      <c r="D44" s="303">
        <f>IF(AP32=AP28,1,0)</f>
        <v>1</v>
      </c>
      <c r="E44" s="305">
        <f>IF(AP32=AP29,1,0)</f>
        <v>1</v>
      </c>
      <c r="F44" s="305">
        <f>IF(AP32=AP30,1,0)</f>
        <v>1</v>
      </c>
      <c r="G44" s="305">
        <f>IF(AP32=AP31,1,0)</f>
        <v>1</v>
      </c>
      <c r="H44" s="304"/>
      <c r="I44" s="323">
        <f>IF(AP32=AP33,1,0)</f>
        <v>1</v>
      </c>
      <c r="J44" s="341">
        <f>D44+E44+F44+G44+I44</f>
        <v>5</v>
      </c>
      <c r="K44" s="325"/>
      <c r="L44" s="302">
        <v>5</v>
      </c>
      <c r="M44" s="303">
        <f>IF(AND(AP32=AP28,D9=2),1,0)</f>
        <v>0</v>
      </c>
      <c r="N44" s="305">
        <f>IF(AND(AP32=AP29,E9=2),1,0)</f>
        <v>0</v>
      </c>
      <c r="O44" s="305">
        <f>IF(AND(AP32=AP30,F9=2),1,0)</f>
        <v>0</v>
      </c>
      <c r="P44" s="305">
        <f>IF(AND(AP32=AP31,G9=2),1,0)</f>
        <v>0</v>
      </c>
      <c r="Q44" s="304"/>
      <c r="R44" s="323">
        <f>IF(AND(AP32=AP33,I9=2),1,0)</f>
        <v>0</v>
      </c>
      <c r="S44" s="341">
        <f>M44+N44+O44+P44+R44</f>
        <v>0</v>
      </c>
      <c r="T44" s="342"/>
      <c r="U44" s="318"/>
      <c r="V44" s="318"/>
      <c r="W44" s="335"/>
      <c r="X44" s="302">
        <v>5</v>
      </c>
      <c r="Y44" s="308">
        <f t="shared" si="14"/>
        <v>1</v>
      </c>
      <c r="Z44" s="388">
        <f>IF($AP32=AP28,AQ4,"")</f>
        <v>1</v>
      </c>
      <c r="AA44" s="379">
        <f>IF($AP32=AP29,AQ5,"")</f>
        <v>1</v>
      </c>
      <c r="AB44" s="379">
        <f>IF($AP32=AP30,AQ6,"")</f>
        <v>1</v>
      </c>
      <c r="AC44" s="379">
        <f>IF($AP32=AP31,AQ7,"")</f>
        <v>1</v>
      </c>
      <c r="AD44" s="304"/>
      <c r="AE44" s="383">
        <f>IF($AP32=AP33,AQ9,"")</f>
        <v>1</v>
      </c>
      <c r="AF44" s="385">
        <f>IF(AND(Z44="",AA44="",AB44="",AC44="",AD44="",AE44=""),0,IF(Y44&lt;SMALL(Z44:AE44,1),BP8,0))</f>
        <v>0</v>
      </c>
      <c r="AG44" s="395"/>
      <c r="AI44" s="335"/>
      <c r="AJ44" s="322">
        <f t="shared" si="15"/>
      </c>
      <c r="AK44" s="324"/>
      <c r="AL44" s="360">
        <v>5</v>
      </c>
      <c r="AM44" s="404">
        <f t="shared" si="16"/>
        <v>0</v>
      </c>
      <c r="AN44" s="397">
        <f>IF(AJ44=1,AE9,0)</f>
        <v>0</v>
      </c>
      <c r="AO44" s="393">
        <f>IF(OR(AJ44=1,AND(AM44=AM40,AN40&gt;0),AND(AM44=AM41,AN41&gt;0),AND(AM44=AM42,AN42&gt;0),AND(AM44=AM43,AN43&gt;0),AND(AM44=AM45,AN45&gt;0)),0,AF44)</f>
        <v>0</v>
      </c>
      <c r="AP44" s="663">
        <f>AM44+AN44/100+AO44/10000</f>
        <v>0</v>
      </c>
      <c r="AQ44" s="391">
        <f t="shared" si="17"/>
        <v>1</v>
      </c>
      <c r="AR44" s="395"/>
      <c r="AS44" s="318"/>
      <c r="AT44" s="318"/>
    </row>
    <row r="45" spans="2:45" ht="15.75" thickBot="1">
      <c r="B45" s="335"/>
      <c r="C45" s="310">
        <v>6</v>
      </c>
      <c r="D45" s="311">
        <f>IF(AP33=AP28,1,0)</f>
        <v>1</v>
      </c>
      <c r="E45" s="312">
        <f>IF(AP33=AP29,1,0)</f>
        <v>1</v>
      </c>
      <c r="F45" s="312">
        <f>IF(AP33=AP30,1,0)</f>
        <v>1</v>
      </c>
      <c r="G45" s="312">
        <f>IF(AP33=AP31,1,0)</f>
        <v>1</v>
      </c>
      <c r="H45" s="312">
        <f>IF(AP33=AP32,1,0)</f>
        <v>1</v>
      </c>
      <c r="I45" s="343"/>
      <c r="J45" s="344">
        <f>D45+E45+F45+G45+H45</f>
        <v>5</v>
      </c>
      <c r="K45" s="325"/>
      <c r="L45" s="310">
        <v>6</v>
      </c>
      <c r="M45" s="311">
        <f>IF(AND(AP33=AP28,D10=2),1,0)</f>
        <v>0</v>
      </c>
      <c r="N45" s="312">
        <f>IF(AND(AP33=AP29,E10=2),1,0)</f>
        <v>0</v>
      </c>
      <c r="O45" s="312">
        <f>IF(AND(AP33=AP30,F10=2),1,0)</f>
        <v>0</v>
      </c>
      <c r="P45" s="312">
        <f>IF(AND(AP33=AP31,G10=2),1,0)</f>
        <v>0</v>
      </c>
      <c r="Q45" s="312">
        <f>IF(AND(AP33=AP32,H10=2),1,0)</f>
        <v>0</v>
      </c>
      <c r="R45" s="343"/>
      <c r="S45" s="344">
        <f>M45+N45+O45+P45+Q45</f>
        <v>0</v>
      </c>
      <c r="T45" s="342"/>
      <c r="U45" s="318"/>
      <c r="V45" s="318"/>
      <c r="W45" s="335"/>
      <c r="X45" s="310">
        <v>6</v>
      </c>
      <c r="Y45" s="315">
        <f t="shared" si="14"/>
        <v>1</v>
      </c>
      <c r="Z45" s="389">
        <f>IF($AP33=AP28,AQ4,"")</f>
        <v>1</v>
      </c>
      <c r="AA45" s="380">
        <f>IF($AP33=AP29,AQ5,"")</f>
        <v>1</v>
      </c>
      <c r="AB45" s="380">
        <f>IF($AP33=AP30,AQ6,"")</f>
        <v>1</v>
      </c>
      <c r="AC45" s="380">
        <f>IF($AP33=AP31,AQ7,"")</f>
        <v>1</v>
      </c>
      <c r="AD45" s="380">
        <f>IF($AP33=AP32,AQ9,"")</f>
        <v>1</v>
      </c>
      <c r="AE45" s="313"/>
      <c r="AF45" s="386">
        <f>IF(AND(Z45="",AA45="",AB45="",AC45="",AD45="",AE45=""),0,IF(Y45&lt;SMALL(Z45:AE45,1),BP9,0))</f>
        <v>0</v>
      </c>
      <c r="AG45" s="395"/>
      <c r="AI45" s="335"/>
      <c r="AJ45" s="326">
        <f t="shared" si="15"/>
      </c>
      <c r="AK45" s="324"/>
      <c r="AL45" s="361">
        <v>6</v>
      </c>
      <c r="AM45" s="405">
        <f t="shared" si="16"/>
        <v>0</v>
      </c>
      <c r="AN45" s="398">
        <f>IF(AJ45=1,AE10,0)</f>
        <v>0</v>
      </c>
      <c r="AO45" s="394">
        <f>IF(OR(AJ45=1,AND(AM45=AM40,AN40&gt;0),AND(AM45=AM41,AN41&gt;0),AND(AM45=AM42,AN42&gt;0),AND(AM45=AM43,AN43&gt;0),AND(AM45=AM44,AN44&gt;0)),0,AF45)</f>
        <v>0</v>
      </c>
      <c r="AP45" s="664">
        <f>AM45+AN45/100+AO45/10000</f>
        <v>0</v>
      </c>
      <c r="AQ45" s="392">
        <f t="shared" si="17"/>
        <v>1</v>
      </c>
      <c r="AR45" s="395"/>
      <c r="AS45" s="318"/>
    </row>
    <row r="46" spans="2:45" ht="15.75" thickBot="1">
      <c r="B46" s="345"/>
      <c r="C46" s="346"/>
      <c r="D46" s="346"/>
      <c r="E46" s="346"/>
      <c r="F46" s="347"/>
      <c r="G46" s="346"/>
      <c r="H46" s="346"/>
      <c r="I46" s="346"/>
      <c r="J46" s="346"/>
      <c r="K46" s="346"/>
      <c r="L46" s="346"/>
      <c r="M46" s="346"/>
      <c r="N46" s="346"/>
      <c r="O46" s="346"/>
      <c r="P46" s="346"/>
      <c r="Q46" s="348"/>
      <c r="R46" s="348"/>
      <c r="S46" s="348"/>
      <c r="T46" s="349"/>
      <c r="U46" s="325"/>
      <c r="V46" s="318"/>
      <c r="W46" s="345"/>
      <c r="X46" s="346"/>
      <c r="Y46" s="346"/>
      <c r="Z46" s="346"/>
      <c r="AA46" s="346"/>
      <c r="AB46" s="346"/>
      <c r="AC46" s="346"/>
      <c r="AD46" s="346"/>
      <c r="AE46" s="346"/>
      <c r="AF46" s="346"/>
      <c r="AG46" s="293"/>
      <c r="AI46" s="345"/>
      <c r="AJ46" s="346"/>
      <c r="AK46" s="346"/>
      <c r="AL46" s="346"/>
      <c r="AM46" s="346"/>
      <c r="AN46" s="346"/>
      <c r="AO46" s="346"/>
      <c r="AP46" s="346"/>
      <c r="AQ46" s="346"/>
      <c r="AR46" s="293"/>
      <c r="AS46" s="318"/>
    </row>
    <row r="47" spans="4:23" ht="15">
      <c r="D47" s="318"/>
      <c r="E47" s="325"/>
      <c r="Q47" s="325"/>
      <c r="R47" s="325"/>
      <c r="S47" s="325"/>
      <c r="T47" s="325"/>
      <c r="U47" s="325"/>
      <c r="V47" s="318"/>
      <c r="W47" s="318"/>
    </row>
    <row r="48" spans="4:23" ht="15">
      <c r="D48" s="318"/>
      <c r="E48" s="325"/>
      <c r="F48" s="327"/>
      <c r="G48" s="325"/>
      <c r="H48" s="325"/>
      <c r="I48" s="325"/>
      <c r="J48" s="325"/>
      <c r="K48" s="325"/>
      <c r="L48" s="325"/>
      <c r="M48" s="325"/>
      <c r="N48" s="325"/>
      <c r="O48" s="325"/>
      <c r="P48" s="325"/>
      <c r="Q48" s="325"/>
      <c r="R48" s="325"/>
      <c r="S48" s="325"/>
      <c r="T48" s="325"/>
      <c r="U48" s="325"/>
      <c r="V48" s="318"/>
      <c r="W48" s="318"/>
    </row>
    <row r="49" spans="2:23" ht="15">
      <c r="B49" s="284" t="s">
        <v>191</v>
      </c>
      <c r="D49" s="318"/>
      <c r="E49" s="325"/>
      <c r="F49" s="327"/>
      <c r="G49" s="325"/>
      <c r="H49" s="325"/>
      <c r="I49" s="325"/>
      <c r="J49" s="325"/>
      <c r="K49" s="325"/>
      <c r="L49" s="325"/>
      <c r="M49" s="325"/>
      <c r="N49" s="325"/>
      <c r="O49" s="325"/>
      <c r="P49" s="325"/>
      <c r="Q49" s="325"/>
      <c r="R49" s="325"/>
      <c r="S49" s="325"/>
      <c r="T49" s="325"/>
      <c r="U49" s="325"/>
      <c r="V49" s="318"/>
      <c r="W49" s="318"/>
    </row>
    <row r="50" spans="3:36" ht="16.5" thickBot="1">
      <c r="C50" s="319" t="s">
        <v>208</v>
      </c>
      <c r="L50" s="328" t="s">
        <v>212</v>
      </c>
      <c r="O50" s="284"/>
      <c r="T50" s="325"/>
      <c r="U50" s="325"/>
      <c r="V50" s="318"/>
      <c r="W50" s="318"/>
      <c r="X50" s="284" t="s">
        <v>203</v>
      </c>
      <c r="AJ50" s="415" t="s">
        <v>182</v>
      </c>
    </row>
    <row r="51" spans="2:45" ht="15.75" thickBot="1">
      <c r="B51" s="329"/>
      <c r="C51" s="330"/>
      <c r="D51" s="330"/>
      <c r="E51" s="331"/>
      <c r="F51" s="332"/>
      <c r="G51" s="331"/>
      <c r="H51" s="331"/>
      <c r="I51" s="331"/>
      <c r="J51" s="331"/>
      <c r="K51" s="331"/>
      <c r="L51" s="330"/>
      <c r="M51" s="330"/>
      <c r="N51" s="330"/>
      <c r="O51" s="333"/>
      <c r="P51" s="330"/>
      <c r="Q51" s="330"/>
      <c r="R51" s="333"/>
      <c r="S51" s="330"/>
      <c r="T51" s="334"/>
      <c r="U51" s="325"/>
      <c r="V51" s="318"/>
      <c r="W51" s="329"/>
      <c r="X51" s="330"/>
      <c r="Y51" s="330"/>
      <c r="Z51" s="330"/>
      <c r="AA51" s="330"/>
      <c r="AB51" s="330"/>
      <c r="AC51" s="330"/>
      <c r="AD51" s="330"/>
      <c r="AE51" s="330"/>
      <c r="AF51" s="330"/>
      <c r="AG51" s="399"/>
      <c r="AI51" s="329"/>
      <c r="AJ51" s="330"/>
      <c r="AK51" s="330"/>
      <c r="AL51" s="410"/>
      <c r="AM51" s="330"/>
      <c r="AN51" s="330"/>
      <c r="AO51" s="330"/>
      <c r="AP51" s="330"/>
      <c r="AQ51" s="330"/>
      <c r="AR51" s="399"/>
      <c r="AS51" s="318"/>
    </row>
    <row r="52" spans="2:45" ht="15.75" thickBot="1">
      <c r="B52" s="335"/>
      <c r="C52" s="286"/>
      <c r="D52" s="287">
        <v>1</v>
      </c>
      <c r="E52" s="288">
        <v>2</v>
      </c>
      <c r="F52" s="288">
        <v>3</v>
      </c>
      <c r="G52" s="288">
        <v>4</v>
      </c>
      <c r="H52" s="288">
        <v>5</v>
      </c>
      <c r="I52" s="289">
        <v>6</v>
      </c>
      <c r="J52" s="334" t="s">
        <v>182</v>
      </c>
      <c r="K52" s="325"/>
      <c r="L52" s="286"/>
      <c r="M52" s="287">
        <v>1</v>
      </c>
      <c r="N52" s="288">
        <v>2</v>
      </c>
      <c r="O52" s="288">
        <v>3</v>
      </c>
      <c r="P52" s="288">
        <v>4</v>
      </c>
      <c r="Q52" s="288">
        <v>5</v>
      </c>
      <c r="R52" s="289">
        <v>6</v>
      </c>
      <c r="S52" s="334" t="s">
        <v>182</v>
      </c>
      <c r="T52" s="336"/>
      <c r="U52" s="325"/>
      <c r="V52" s="318"/>
      <c r="W52" s="335"/>
      <c r="X52" s="286"/>
      <c r="Y52" s="390" t="s">
        <v>195</v>
      </c>
      <c r="Z52" s="287">
        <v>1</v>
      </c>
      <c r="AA52" s="288">
        <v>2</v>
      </c>
      <c r="AB52" s="288">
        <v>3</v>
      </c>
      <c r="AC52" s="288">
        <v>4</v>
      </c>
      <c r="AD52" s="288">
        <v>5</v>
      </c>
      <c r="AE52" s="289">
        <v>6</v>
      </c>
      <c r="AF52" s="334"/>
      <c r="AG52" s="395"/>
      <c r="AI52" s="335"/>
      <c r="AJ52" s="413" t="s">
        <v>202</v>
      </c>
      <c r="AK52" s="318"/>
      <c r="AL52" s="286"/>
      <c r="AM52" s="665" t="s">
        <v>199</v>
      </c>
      <c r="AN52" s="288" t="s">
        <v>196</v>
      </c>
      <c r="AO52" s="288" t="s">
        <v>197</v>
      </c>
      <c r="AP52" s="596" t="s">
        <v>211</v>
      </c>
      <c r="AQ52" s="413" t="s">
        <v>104</v>
      </c>
      <c r="AR52" s="395"/>
      <c r="AS52" s="318"/>
    </row>
    <row r="53" spans="2:45" ht="15">
      <c r="B53" s="335"/>
      <c r="C53" s="294">
        <v>1</v>
      </c>
      <c r="D53" s="295"/>
      <c r="E53" s="296">
        <f>IF(AP40=AP41,1,0)</f>
        <v>1</v>
      </c>
      <c r="F53" s="296">
        <f>IF(AP40=AP42,1,0)</f>
        <v>1</v>
      </c>
      <c r="G53" s="296">
        <f>IF(AP40=AP43,1,0)</f>
        <v>1</v>
      </c>
      <c r="H53" s="296">
        <f>IF(AP40=AP44,1,0)</f>
        <v>1</v>
      </c>
      <c r="I53" s="321">
        <f>IF(AP40=AP45,1,0)</f>
        <v>1</v>
      </c>
      <c r="J53" s="337">
        <f>E53+F53+G53+H53+I53</f>
        <v>5</v>
      </c>
      <c r="K53" s="325"/>
      <c r="L53" s="294">
        <v>1</v>
      </c>
      <c r="M53" s="295"/>
      <c r="N53" s="296">
        <f>IF(AND(AP40=AP41,$E$5=2),1,0)</f>
        <v>0</v>
      </c>
      <c r="O53" s="296">
        <f>IF(AND(AP40=AP42,$F$5=2),1,0)</f>
        <v>0</v>
      </c>
      <c r="P53" s="296">
        <f>IF(AND(AP40=AP43,$G$5=2),1,0)</f>
        <v>0</v>
      </c>
      <c r="Q53" s="296">
        <f>IF(AND(AP40=AP44,$H$5=2),1,0)</f>
        <v>0</v>
      </c>
      <c r="R53" s="321">
        <f>IF(AND(AP40=AP45,$I$5=2),1,0)</f>
        <v>0</v>
      </c>
      <c r="S53" s="337">
        <f>N53+O53+P53+Q53+R53</f>
        <v>0</v>
      </c>
      <c r="T53" s="338"/>
      <c r="U53" s="318"/>
      <c r="W53" s="335"/>
      <c r="X53" s="294">
        <v>1</v>
      </c>
      <c r="Y53" s="358">
        <f>$AQ$4</f>
        <v>1</v>
      </c>
      <c r="Z53" s="295"/>
      <c r="AA53" s="378">
        <f>IF(AP40=AP41,$AQ$5,"")</f>
        <v>1</v>
      </c>
      <c r="AB53" s="378">
        <f>IF(AP40=AP42,$AQ$6,"")</f>
        <v>1</v>
      </c>
      <c r="AC53" s="378">
        <f>IF(AP40=AP43,$AQ$7,"")</f>
        <v>1</v>
      </c>
      <c r="AD53" s="378">
        <f>IF(AP40=AP44,$AQ$8,"")</f>
        <v>1</v>
      </c>
      <c r="AE53" s="382">
        <f>IF(AP40=AP45,$AQ$9,"")</f>
        <v>1</v>
      </c>
      <c r="AF53" s="384">
        <f>IF(AND(Z53="",AA53="",AB53="",AC53="",AD53="",AE53=""),0,IF(Y53&lt;SMALL(Z53:AE53,1),BP4,0))</f>
        <v>0</v>
      </c>
      <c r="AG53" s="395"/>
      <c r="AI53" s="335"/>
      <c r="AJ53" s="320">
        <f aca="true" t="shared" si="18" ref="AJ53:AJ58">IF(AND(J53=S53,J53&gt;0),1,"")</f>
      </c>
      <c r="AK53" s="318"/>
      <c r="AL53" s="294">
        <v>1</v>
      </c>
      <c r="AM53" s="666">
        <f aca="true" t="shared" si="19" ref="AM53:AM58">AP40</f>
        <v>0</v>
      </c>
      <c r="AN53" s="661">
        <f>IF(AJ53=1,AE5,0)</f>
        <v>0</v>
      </c>
      <c r="AO53" s="589">
        <f>IF(OR(AJ53=1,AND(AM53=AM54,AN54&gt;0),AND(AM53=AM55,AN55&gt;0),AND(AM53=AM56,AN56&gt;0),AND(AM53=AM57,AN57&gt;0),AND(AM53=AM58,AN58&gt;0)),0,AF53)</f>
        <v>0</v>
      </c>
      <c r="AP53" s="667">
        <f>AM53+AN53/10000+AO53/1000000</f>
        <v>0</v>
      </c>
      <c r="AQ53" s="414">
        <f>RANK(AP53,AP53:AP58)</f>
        <v>1</v>
      </c>
      <c r="AR53" s="395"/>
      <c r="AS53" s="318"/>
    </row>
    <row r="54" spans="2:45" ht="15">
      <c r="B54" s="335"/>
      <c r="C54" s="302">
        <v>2</v>
      </c>
      <c r="D54" s="303">
        <f>IF(AP41=AP40,1,0)</f>
        <v>1</v>
      </c>
      <c r="E54" s="304"/>
      <c r="F54" s="305">
        <f>IF(AP41=AP42,1,0)</f>
        <v>1</v>
      </c>
      <c r="G54" s="305">
        <f>IF(AP41=AP43,1,0)</f>
        <v>1</v>
      </c>
      <c r="H54" s="305">
        <f>IF(AP41=AP44,1,0)</f>
        <v>1</v>
      </c>
      <c r="I54" s="323">
        <f>IF(AP41=AP45,1,0)</f>
        <v>1</v>
      </c>
      <c r="J54" s="339">
        <f>D54+F54+G54+H54+I54</f>
        <v>5</v>
      </c>
      <c r="K54" s="325"/>
      <c r="L54" s="302">
        <v>2</v>
      </c>
      <c r="M54" s="303">
        <f>IF(AND(AP41=AP40,$D$6=2),1,0)</f>
        <v>0</v>
      </c>
      <c r="N54" s="304"/>
      <c r="O54" s="305">
        <f>IF(AND(AP41=AP42,$F$6=2),1,0)</f>
        <v>0</v>
      </c>
      <c r="P54" s="305">
        <f>IF(AND(AP41=AP43,$G$6=2),1,0)</f>
        <v>0</v>
      </c>
      <c r="Q54" s="305">
        <f>IF(AND(AP41=AP44,$H$6=2),1,0)</f>
        <v>0</v>
      </c>
      <c r="R54" s="323">
        <f>IF(AND(AP41=AP45,$I$6=2),1,0)</f>
        <v>0</v>
      </c>
      <c r="S54" s="339">
        <f>M54+O54+P54+Q54+R54</f>
        <v>0</v>
      </c>
      <c r="T54" s="338"/>
      <c r="U54" s="318"/>
      <c r="W54" s="335"/>
      <c r="X54" s="302">
        <v>2</v>
      </c>
      <c r="Y54" s="302">
        <f>$AQ$5</f>
        <v>1</v>
      </c>
      <c r="Z54" s="406">
        <f>IF(AP41=AP40,$AQ$4,"")</f>
        <v>1</v>
      </c>
      <c r="AA54" s="304"/>
      <c r="AB54" s="379">
        <f>IF(AP41=AP42,$AQ$6,"")</f>
        <v>1</v>
      </c>
      <c r="AC54" s="379">
        <f>IF(AP41=AP43,$AQ$7,"")</f>
        <v>1</v>
      </c>
      <c r="AD54" s="379">
        <f>IF(AP41=AP44,$AQ$8,"")</f>
        <v>1</v>
      </c>
      <c r="AE54" s="383">
        <f>IF(AP41=AP45,$AQ$9,"")</f>
        <v>1</v>
      </c>
      <c r="AF54" s="385">
        <f>IF(AND(Z54="",AA54="",AB54="",AC54="",AD54="",AE54=""),0,IF(Y54&lt;SMALL(Z54:AE54,1),BP5,0))</f>
        <v>0</v>
      </c>
      <c r="AG54" s="395"/>
      <c r="AI54" s="335"/>
      <c r="AJ54" s="322">
        <f t="shared" si="18"/>
      </c>
      <c r="AK54" s="318"/>
      <c r="AL54" s="302">
        <v>2</v>
      </c>
      <c r="AM54" s="402">
        <f t="shared" si="19"/>
        <v>0</v>
      </c>
      <c r="AN54" s="397">
        <f>IF(AJ54=1,AE6,0)</f>
        <v>0</v>
      </c>
      <c r="AO54" s="393">
        <f>IF(OR(AJ54=1,AND(AM54=AM53,AN53&gt;0),AND(AM54=AM55,AN55&gt;0),AND(AM54=AM56,AN56&gt;0),AND(AM54=AM57,AN57&gt;0),AND(AM54=AM58,AN58&gt;0)),0,AF54)</f>
        <v>0</v>
      </c>
      <c r="AP54" s="668">
        <f>AM54+AN54/10000+AO54/1000000</f>
        <v>0</v>
      </c>
      <c r="AQ54" s="400">
        <f>RANK(AP54,AP53:AP58)</f>
        <v>1</v>
      </c>
      <c r="AR54" s="395"/>
      <c r="AS54" s="318"/>
    </row>
    <row r="55" spans="2:45" ht="15">
      <c r="B55" s="335"/>
      <c r="C55" s="302">
        <v>3</v>
      </c>
      <c r="D55" s="303">
        <f>IF(AP42=AP40,1,0)</f>
        <v>1</v>
      </c>
      <c r="E55" s="305">
        <f>IF(AP42=AP41,1,0)</f>
        <v>1</v>
      </c>
      <c r="F55" s="304"/>
      <c r="G55" s="305">
        <f>IF(AP42=AP43,1,0)</f>
        <v>1</v>
      </c>
      <c r="H55" s="305">
        <f>IF(AP42=AP44,1,0)</f>
        <v>1</v>
      </c>
      <c r="I55" s="323">
        <f>IF(AP42=AP45,1,0)</f>
        <v>1</v>
      </c>
      <c r="J55" s="339">
        <f>D55+E55+G55+H55+I55</f>
        <v>5</v>
      </c>
      <c r="K55" s="325"/>
      <c r="L55" s="302">
        <v>3</v>
      </c>
      <c r="M55" s="303">
        <f>IF(AND(AP42=AP40,$D$7=2),1,0)</f>
        <v>0</v>
      </c>
      <c r="N55" s="305">
        <f>IF(AND(AP42=AP41,$E$7=2),1,0)</f>
        <v>0</v>
      </c>
      <c r="O55" s="304"/>
      <c r="P55" s="305">
        <f>IF(AND(AP42=AP43,$G$7=2),1,0)</f>
        <v>0</v>
      </c>
      <c r="Q55" s="305">
        <f>IF(AND(AP42=AP44,$H$7=2),1,0)</f>
        <v>0</v>
      </c>
      <c r="R55" s="323">
        <f>IF(AND(AP42=AP45,$I$7=2),1,0)</f>
        <v>0</v>
      </c>
      <c r="S55" s="339">
        <f>M55+N55+P55+Q55+R55</f>
        <v>0</v>
      </c>
      <c r="T55" s="338"/>
      <c r="U55" s="318"/>
      <c r="W55" s="335"/>
      <c r="X55" s="302">
        <v>3</v>
      </c>
      <c r="Y55" s="302">
        <f>$AQ$6</f>
        <v>1</v>
      </c>
      <c r="Z55" s="406">
        <f>IF(AP42=AP40,$AQ$4,"")</f>
        <v>1</v>
      </c>
      <c r="AA55" s="379">
        <f>IF(AP42=AP41,$AQ$5,"")</f>
        <v>1</v>
      </c>
      <c r="AB55" s="304"/>
      <c r="AC55" s="379">
        <f>IF(AP42=AP43,$AQ$7,"")</f>
        <v>1</v>
      </c>
      <c r="AD55" s="379">
        <f>IF(AP42=AP44,$AQ$8,"")</f>
        <v>1</v>
      </c>
      <c r="AE55" s="383">
        <f>IF(AP42=AP45,$AQ$9,"")</f>
        <v>1</v>
      </c>
      <c r="AF55" s="385">
        <f>IF(AND(Z55="",AA55="",AB55="",AC55="",AD55="",AE55=""),0,IF(Y55&lt;SMALL(Z55:AE55,1),BP6,0))</f>
        <v>0</v>
      </c>
      <c r="AG55" s="395"/>
      <c r="AI55" s="335"/>
      <c r="AJ55" s="322">
        <f t="shared" si="18"/>
      </c>
      <c r="AK55" s="318"/>
      <c r="AL55" s="302">
        <v>3</v>
      </c>
      <c r="AM55" s="402">
        <f t="shared" si="19"/>
        <v>0</v>
      </c>
      <c r="AN55" s="397">
        <f>IF(AJ55=1,AE7,0)</f>
        <v>0</v>
      </c>
      <c r="AO55" s="393">
        <f>IF(OR(AJ55=1,AND(AM55=AM53,AN53&gt;0),AND(AM55=AM54,AN54&gt;0),AND(AM55=AM56,AN56&gt;0),AND(AM55=AM57,AN57&gt;0),AND(AM55=AM58,AN58&gt;0)),0,AF55)</f>
        <v>0</v>
      </c>
      <c r="AP55" s="668">
        <f>AM55+AN55/10000+AO55/1000000</f>
        <v>0</v>
      </c>
      <c r="AQ55" s="400">
        <f>RANK(AP55,AP53:AP58)</f>
        <v>1</v>
      </c>
      <c r="AR55" s="395"/>
      <c r="AS55" s="318"/>
    </row>
    <row r="56" spans="2:45" ht="15">
      <c r="B56" s="335"/>
      <c r="C56" s="302">
        <v>4</v>
      </c>
      <c r="D56" s="303">
        <f>IF(AP43=AP40,1,0)</f>
        <v>1</v>
      </c>
      <c r="E56" s="305">
        <f>IF(AP43=AP41,1,0)</f>
        <v>1</v>
      </c>
      <c r="F56" s="305">
        <f>IF(AP43=AP42,1,0)</f>
        <v>1</v>
      </c>
      <c r="G56" s="304"/>
      <c r="H56" s="305">
        <f>IF(AP43=AP44,1,0)</f>
        <v>1</v>
      </c>
      <c r="I56" s="323">
        <f>IF(AP43=AP45,1,0)</f>
        <v>1</v>
      </c>
      <c r="J56" s="339">
        <f>D56+E56+F56+H56+I56</f>
        <v>5</v>
      </c>
      <c r="K56" s="325"/>
      <c r="L56" s="302">
        <v>4</v>
      </c>
      <c r="M56" s="303">
        <f>IF(AND(AP43=AP40,$D$8=2),1,0)</f>
        <v>0</v>
      </c>
      <c r="N56" s="305">
        <f>IF(AND(AP43=AP41,$E$8=2),1,0)</f>
        <v>0</v>
      </c>
      <c r="O56" s="305">
        <f>IF(AND(AP43=AP42,$F$8=2),1,0)</f>
        <v>0</v>
      </c>
      <c r="P56" s="304"/>
      <c r="Q56" s="305">
        <f>IF(AND(AP43=AP44,$H$8=2),1,0)</f>
        <v>0</v>
      </c>
      <c r="R56" s="323">
        <f>IF(AND(AP43=AP45,$I$8=2),1,0)</f>
        <v>0</v>
      </c>
      <c r="S56" s="339">
        <f>M56+N56+O56+Q56+R56</f>
        <v>0</v>
      </c>
      <c r="T56" s="340"/>
      <c r="U56" s="318"/>
      <c r="W56" s="335"/>
      <c r="X56" s="302">
        <v>4</v>
      </c>
      <c r="Y56" s="302">
        <f>$AQ$7</f>
        <v>1</v>
      </c>
      <c r="Z56" s="406">
        <f>IF(AP43=AP40,$AQ$4,"")</f>
        <v>1</v>
      </c>
      <c r="AA56" s="379">
        <f>IF(AP43=AP41,$AQ$5,"")</f>
        <v>1</v>
      </c>
      <c r="AB56" s="379">
        <f>IF(AP43=AP42,$AQ$6,"")</f>
        <v>1</v>
      </c>
      <c r="AC56" s="304"/>
      <c r="AD56" s="379">
        <f>IF(AP43=AP44,$AQ$8,"")</f>
        <v>1</v>
      </c>
      <c r="AE56" s="383">
        <f>IF(AP43=AP45,$AQ$9,"")</f>
        <v>1</v>
      </c>
      <c r="AF56" s="385">
        <f>IF(AND(Z56="",AA56="",AB56="",AC56="",AD56="",AE56=""),0,IF(Y56&lt;SMALL(Z56:AE56,1),BP7,0))</f>
        <v>0</v>
      </c>
      <c r="AG56" s="395"/>
      <c r="AI56" s="335"/>
      <c r="AJ56" s="322">
        <f t="shared" si="18"/>
      </c>
      <c r="AK56" s="324"/>
      <c r="AL56" s="359">
        <v>4</v>
      </c>
      <c r="AM56" s="402">
        <f t="shared" si="19"/>
        <v>0</v>
      </c>
      <c r="AN56" s="397">
        <f>IF(AJ56=1,AE8,0)</f>
        <v>0</v>
      </c>
      <c r="AO56" s="393">
        <f>IF(OR(AJ56=1,AND(AM56=AM53,AN53&gt;0),AND(AM56=AM54,AN54&gt;0),AND(AM56=AM55,AN55&gt;0),AND(AM56=AM57,AN57&gt;0),AND(AM56=AM58,AN58&gt;0)),0,AF56)</f>
        <v>0</v>
      </c>
      <c r="AP56" s="668">
        <f>AM56+AN56/10000+AO56/1000000</f>
        <v>0</v>
      </c>
      <c r="AQ56" s="400">
        <f>RANK(AP56,AP53:AP58)</f>
        <v>1</v>
      </c>
      <c r="AR56" s="395"/>
      <c r="AS56" s="318"/>
    </row>
    <row r="57" spans="2:45" ht="15">
      <c r="B57" s="335"/>
      <c r="C57" s="302">
        <v>5</v>
      </c>
      <c r="D57" s="303">
        <f>IF(AP44=AP40,1,0)</f>
        <v>1</v>
      </c>
      <c r="E57" s="305">
        <f>IF(AP44=AP41,1,0)</f>
        <v>1</v>
      </c>
      <c r="F57" s="305">
        <f>IF(AP44=AP42,1,0)</f>
        <v>1</v>
      </c>
      <c r="G57" s="305">
        <f>IF(AP44=AP43,1,0)</f>
        <v>1</v>
      </c>
      <c r="H57" s="304"/>
      <c r="I57" s="323">
        <f>IF(AP44=AP45,1,0)</f>
        <v>1</v>
      </c>
      <c r="J57" s="341">
        <f>D57+E57+F57+G57+I57</f>
        <v>5</v>
      </c>
      <c r="K57" s="325"/>
      <c r="L57" s="302">
        <v>5</v>
      </c>
      <c r="M57" s="303">
        <f>IF(AND(AP44=AP40,$D$9=2),1,0)</f>
        <v>0</v>
      </c>
      <c r="N57" s="305">
        <f>IF(AND(AP44=AP41,$E$9=2),1,0)</f>
        <v>0</v>
      </c>
      <c r="O57" s="305">
        <f>IF(AND(AP44=AP42,$F$9=2),1,0)</f>
        <v>0</v>
      </c>
      <c r="P57" s="305">
        <f>IF(AND(AP44=AP43,$G$9=2),1,0)</f>
        <v>0</v>
      </c>
      <c r="Q57" s="304"/>
      <c r="R57" s="323">
        <f>IF(AND(AP44=AP45,$I$9=2),1,0)</f>
        <v>0</v>
      </c>
      <c r="S57" s="341">
        <f>M57+N57+O57+P57+R57</f>
        <v>0</v>
      </c>
      <c r="T57" s="342"/>
      <c r="U57" s="318"/>
      <c r="W57" s="335"/>
      <c r="X57" s="302">
        <v>5</v>
      </c>
      <c r="Y57" s="302">
        <f>$AQ$8</f>
        <v>1</v>
      </c>
      <c r="Z57" s="406">
        <f>IF(AP44=AP40,$AQ$4,"")</f>
        <v>1</v>
      </c>
      <c r="AA57" s="379">
        <f>IF(AP44=AP41,$AQ$5,"")</f>
        <v>1</v>
      </c>
      <c r="AB57" s="379">
        <f>IF(AP44=AP42,$AQ$6,"")</f>
        <v>1</v>
      </c>
      <c r="AC57" s="379">
        <f>IF(AP44=AP43,$AQ$7,"")</f>
        <v>1</v>
      </c>
      <c r="AD57" s="304"/>
      <c r="AE57" s="383">
        <f>IF(AP44=AP45,$AQ$9,"")</f>
        <v>1</v>
      </c>
      <c r="AF57" s="385">
        <f>IF(AND(Z57="",AA57="",AB57="",AC57="",AD57="",AE57=""),0,IF(Y57&lt;SMALL(Z57:AE57,1),BP8,0))</f>
        <v>0</v>
      </c>
      <c r="AG57" s="395"/>
      <c r="AI57" s="335"/>
      <c r="AJ57" s="322">
        <f t="shared" si="18"/>
      </c>
      <c r="AK57" s="324"/>
      <c r="AL57" s="360">
        <v>5</v>
      </c>
      <c r="AM57" s="402">
        <f t="shared" si="19"/>
        <v>0</v>
      </c>
      <c r="AN57" s="397">
        <f>IF(AJ57=1,AE9,0)</f>
        <v>0</v>
      </c>
      <c r="AO57" s="393">
        <f>IF(OR(AJ57=1,AND(AM57=AM53,AN53&gt;0),AND(AM57=AM54,AN54&gt;0),AND(AM57=AM55,AN55&gt;0),AND(AM57=AM56,AN56&gt;0),AND(AM57=AM58,AN58&gt;0)),0,AF57)</f>
        <v>0</v>
      </c>
      <c r="AP57" s="668">
        <f>AM57+AN57/10000+AO57/1000000</f>
        <v>0</v>
      </c>
      <c r="AQ57" s="400">
        <f>RANK(AP57,AP53:AP58)</f>
        <v>1</v>
      </c>
      <c r="AR57" s="395"/>
      <c r="AS57" s="318"/>
    </row>
    <row r="58" spans="2:45" ht="15.75" thickBot="1">
      <c r="B58" s="335"/>
      <c r="C58" s="310">
        <v>6</v>
      </c>
      <c r="D58" s="311">
        <f>IF(AP45=AP40,1,0)</f>
        <v>1</v>
      </c>
      <c r="E58" s="312">
        <f>IF(AP45=AP41,1,0)</f>
        <v>1</v>
      </c>
      <c r="F58" s="312">
        <f>IF(AP45=AP42,1,0)</f>
        <v>1</v>
      </c>
      <c r="G58" s="312">
        <f>IF(AP45=AP43,1,0)</f>
        <v>1</v>
      </c>
      <c r="H58" s="312">
        <f>IF(AP45=AP44,1,0)</f>
        <v>1</v>
      </c>
      <c r="I58" s="343"/>
      <c r="J58" s="344">
        <f>D58+E58+F58+G58+H58</f>
        <v>5</v>
      </c>
      <c r="K58" s="325"/>
      <c r="L58" s="310">
        <v>6</v>
      </c>
      <c r="M58" s="311">
        <f>IF(AND(AP45=AP40,$D$10=2),1,0)</f>
        <v>0</v>
      </c>
      <c r="N58" s="312">
        <f>IF(AND(AP45=AP41,$E$10=2),1,0)</f>
        <v>0</v>
      </c>
      <c r="O58" s="312">
        <f>IF(AND(AP45=AP42,$F$10=2),1,0)</f>
        <v>0</v>
      </c>
      <c r="P58" s="312">
        <f>IF(AND(AP45=AP43,$G$10=2),1,0)</f>
        <v>0</v>
      </c>
      <c r="Q58" s="312">
        <f>IF(AND(AP45=AP44,$H$10=2),1,0)</f>
        <v>0</v>
      </c>
      <c r="R58" s="343"/>
      <c r="S58" s="344">
        <f>M58+N58+O58+P58+Q58</f>
        <v>0</v>
      </c>
      <c r="T58" s="342"/>
      <c r="U58" s="318"/>
      <c r="W58" s="335"/>
      <c r="X58" s="310">
        <v>6</v>
      </c>
      <c r="Y58" s="310">
        <f>$AQ$9</f>
        <v>1</v>
      </c>
      <c r="Z58" s="407">
        <f>IF(AP45=AP40,$AQ$4,"")</f>
        <v>1</v>
      </c>
      <c r="AA58" s="380">
        <f>IF(AP45=AP41,$AQ$5,"")</f>
        <v>1</v>
      </c>
      <c r="AB58" s="380">
        <f>IF(AP45=AP42,$AQ$6,"")</f>
        <v>1</v>
      </c>
      <c r="AC58" s="380">
        <f>IF(AP45=AP43,$AQ$7,"")</f>
        <v>1</v>
      </c>
      <c r="AD58" s="380">
        <f>IF(AP45=AP44,$AQ$8,"")</f>
        <v>1</v>
      </c>
      <c r="AE58" s="313"/>
      <c r="AF58" s="386">
        <f>IF(AND(Z58="",AA58="",AB58="",AC58="",AD58="",AE58=""),0,IF(Y58&lt;SMALL(Z58:AE58,1),BP9,0))</f>
        <v>0</v>
      </c>
      <c r="AG58" s="395"/>
      <c r="AI58" s="335"/>
      <c r="AJ58" s="326">
        <f t="shared" si="18"/>
      </c>
      <c r="AK58" s="324"/>
      <c r="AL58" s="361">
        <v>6</v>
      </c>
      <c r="AM58" s="403">
        <f t="shared" si="19"/>
        <v>0</v>
      </c>
      <c r="AN58" s="398">
        <f>IF(AJ58=1,AE10,0)</f>
        <v>0</v>
      </c>
      <c r="AO58" s="394">
        <f>IF(OR(AJ58=1,AND(AM58=AM53,AN53&gt;0),AND(AM58=AM54,AN54&gt;0),AND(AM58=AM55,AN55&gt;0),AND(AM58=AM56,AN56&gt;0),AND(AM58=AM57,AN57&gt;0)),0,AF58)</f>
        <v>0</v>
      </c>
      <c r="AP58" s="669">
        <f>AM58+AN58/10000+AO58/1000000</f>
        <v>0</v>
      </c>
      <c r="AQ58" s="401">
        <f>RANK(AP58,AP53:AP58)</f>
        <v>1</v>
      </c>
      <c r="AR58" s="395"/>
      <c r="AS58" s="318"/>
    </row>
    <row r="59" spans="2:45" ht="15.75" thickBot="1">
      <c r="B59" s="345"/>
      <c r="C59" s="346"/>
      <c r="D59" s="346"/>
      <c r="E59" s="346"/>
      <c r="F59" s="347"/>
      <c r="G59" s="346"/>
      <c r="H59" s="346"/>
      <c r="I59" s="346"/>
      <c r="J59" s="346"/>
      <c r="K59" s="346"/>
      <c r="L59" s="346"/>
      <c r="M59" s="346"/>
      <c r="N59" s="346"/>
      <c r="O59" s="346"/>
      <c r="P59" s="346"/>
      <c r="Q59" s="348"/>
      <c r="R59" s="348"/>
      <c r="S59" s="348"/>
      <c r="T59" s="349"/>
      <c r="U59" s="325"/>
      <c r="W59" s="345"/>
      <c r="X59" s="346"/>
      <c r="Y59" s="346"/>
      <c r="Z59" s="346"/>
      <c r="AA59" s="346"/>
      <c r="AB59" s="346"/>
      <c r="AC59" s="346"/>
      <c r="AD59" s="346"/>
      <c r="AE59" s="346"/>
      <c r="AF59" s="346"/>
      <c r="AG59" s="293"/>
      <c r="AI59" s="345"/>
      <c r="AJ59" s="346"/>
      <c r="AK59" s="348"/>
      <c r="AL59" s="346"/>
      <c r="AM59" s="346"/>
      <c r="AN59" s="346"/>
      <c r="AO59" s="346"/>
      <c r="AP59" s="346"/>
      <c r="AQ59" s="346"/>
      <c r="AR59" s="293"/>
      <c r="AS59" s="318"/>
    </row>
    <row r="60" spans="4:36" ht="15">
      <c r="D60" s="318"/>
      <c r="E60" s="325"/>
      <c r="Q60" s="325"/>
      <c r="R60" s="325"/>
      <c r="S60" s="325"/>
      <c r="T60" s="325"/>
      <c r="U60" s="325"/>
      <c r="AJ60" s="325"/>
    </row>
    <row r="62" ht="15">
      <c r="B62" s="284" t="s">
        <v>204</v>
      </c>
    </row>
    <row r="63" spans="3:36" ht="16.5" thickBot="1">
      <c r="C63" s="319" t="s">
        <v>214</v>
      </c>
      <c r="L63" s="328" t="s">
        <v>215</v>
      </c>
      <c r="O63" s="284"/>
      <c r="T63" s="325"/>
      <c r="W63" s="318"/>
      <c r="X63" s="284" t="s">
        <v>203</v>
      </c>
      <c r="AJ63" s="415" t="s">
        <v>182</v>
      </c>
    </row>
    <row r="64" spans="2:45" ht="15.75" thickBot="1">
      <c r="B64" s="329"/>
      <c r="C64" s="330"/>
      <c r="D64" s="330"/>
      <c r="E64" s="331"/>
      <c r="F64" s="332"/>
      <c r="G64" s="331"/>
      <c r="H64" s="331"/>
      <c r="I64" s="331"/>
      <c r="J64" s="331"/>
      <c r="K64" s="331"/>
      <c r="L64" s="330"/>
      <c r="M64" s="330"/>
      <c r="N64" s="330"/>
      <c r="O64" s="333"/>
      <c r="P64" s="330"/>
      <c r="Q64" s="330"/>
      <c r="R64" s="333"/>
      <c r="S64" s="330"/>
      <c r="T64" s="334"/>
      <c r="W64" s="329"/>
      <c r="X64" s="330"/>
      <c r="Y64" s="330"/>
      <c r="Z64" s="330"/>
      <c r="AA64" s="330"/>
      <c r="AB64" s="330"/>
      <c r="AC64" s="330"/>
      <c r="AD64" s="330"/>
      <c r="AE64" s="330"/>
      <c r="AF64" s="330"/>
      <c r="AG64" s="399"/>
      <c r="AI64" s="329"/>
      <c r="AJ64" s="330"/>
      <c r="AK64" s="330"/>
      <c r="AL64" s="410"/>
      <c r="AM64" s="330"/>
      <c r="AN64" s="330"/>
      <c r="AO64" s="330"/>
      <c r="AP64" s="330"/>
      <c r="AQ64" s="330"/>
      <c r="AR64" s="399"/>
      <c r="AS64" s="318"/>
    </row>
    <row r="65" spans="2:45" ht="15.75" thickBot="1">
      <c r="B65" s="335"/>
      <c r="C65" s="286"/>
      <c r="D65" s="287">
        <v>1</v>
      </c>
      <c r="E65" s="288">
        <v>2</v>
      </c>
      <c r="F65" s="288">
        <v>3</v>
      </c>
      <c r="G65" s="288">
        <v>4</v>
      </c>
      <c r="H65" s="288">
        <v>5</v>
      </c>
      <c r="I65" s="289">
        <v>6</v>
      </c>
      <c r="J65" s="334" t="s">
        <v>182</v>
      </c>
      <c r="K65" s="325"/>
      <c r="L65" s="286"/>
      <c r="M65" s="287">
        <v>1</v>
      </c>
      <c r="N65" s="288">
        <v>2</v>
      </c>
      <c r="O65" s="288">
        <v>3</v>
      </c>
      <c r="P65" s="288">
        <v>4</v>
      </c>
      <c r="Q65" s="288">
        <v>5</v>
      </c>
      <c r="R65" s="289">
        <v>6</v>
      </c>
      <c r="S65" s="334" t="s">
        <v>182</v>
      </c>
      <c r="T65" s="336"/>
      <c r="W65" s="335"/>
      <c r="X65" s="286"/>
      <c r="Y65" s="390" t="s">
        <v>195</v>
      </c>
      <c r="Z65" s="287">
        <v>1</v>
      </c>
      <c r="AA65" s="288">
        <v>2</v>
      </c>
      <c r="AB65" s="288">
        <v>3</v>
      </c>
      <c r="AC65" s="288">
        <v>4</v>
      </c>
      <c r="AD65" s="288">
        <v>5</v>
      </c>
      <c r="AE65" s="289">
        <v>6</v>
      </c>
      <c r="AF65" s="334"/>
      <c r="AG65" s="395"/>
      <c r="AI65" s="335"/>
      <c r="AJ65" s="413" t="s">
        <v>226</v>
      </c>
      <c r="AK65" s="318"/>
      <c r="AL65" s="286"/>
      <c r="AM65" s="665" t="s">
        <v>199</v>
      </c>
      <c r="AN65" s="288" t="s">
        <v>196</v>
      </c>
      <c r="AO65" s="288" t="s">
        <v>197</v>
      </c>
      <c r="AP65" s="596" t="s">
        <v>213</v>
      </c>
      <c r="AQ65" s="413" t="s">
        <v>104</v>
      </c>
      <c r="AR65" s="395"/>
      <c r="AS65" s="318"/>
    </row>
    <row r="66" spans="2:45" ht="15">
      <c r="B66" s="335"/>
      <c r="C66" s="294">
        <v>1</v>
      </c>
      <c r="D66" s="295"/>
      <c r="E66" s="296">
        <f>IF(AP53=AP54,1,0)</f>
        <v>1</v>
      </c>
      <c r="F66" s="296">
        <f>IF(AP53=AP55,1,0)</f>
        <v>1</v>
      </c>
      <c r="G66" s="296">
        <f>IF(AP53=AP56,1,0)</f>
        <v>1</v>
      </c>
      <c r="H66" s="296">
        <f>IF(AP53=AP57,1,0)</f>
        <v>1</v>
      </c>
      <c r="I66" s="321">
        <f>IF(AP53=AP58,1,0)</f>
        <v>1</v>
      </c>
      <c r="J66" s="337">
        <f>E66+F66+G66+H66+I66</f>
        <v>5</v>
      </c>
      <c r="K66" s="325"/>
      <c r="L66" s="294">
        <v>1</v>
      </c>
      <c r="M66" s="295"/>
      <c r="N66" s="296">
        <f>IF(AND(AP53=AP54,$E$5=2),1,0)</f>
        <v>0</v>
      </c>
      <c r="O66" s="296">
        <f>IF(AND(AP53=AP55,$F$5=2),1,0)</f>
        <v>0</v>
      </c>
      <c r="P66" s="296">
        <f>IF(AND(AP53=AP56,$G$5=2),1,0)</f>
        <v>0</v>
      </c>
      <c r="Q66" s="296">
        <f>IF(AND(AP53=AP57,$H$5=2),1,0)</f>
        <v>0</v>
      </c>
      <c r="R66" s="321">
        <f>IF(AND(AP53=AP58,$I$5=2),1,0)</f>
        <v>0</v>
      </c>
      <c r="S66" s="337">
        <f>N66+O66+P66+Q66+R66</f>
        <v>0</v>
      </c>
      <c r="T66" s="338"/>
      <c r="W66" s="335"/>
      <c r="X66" s="294">
        <v>1</v>
      </c>
      <c r="Y66" s="358">
        <f>$AQ$4</f>
        <v>1</v>
      </c>
      <c r="Z66" s="295"/>
      <c r="AA66" s="378">
        <f>IF(AP53=AP54,$AQ$5,"")</f>
        <v>1</v>
      </c>
      <c r="AB66" s="378">
        <f>IF(AP53=AP55,$AQ$6,"")</f>
        <v>1</v>
      </c>
      <c r="AC66" s="378">
        <f>IF(AP53=AP56,$AQ$7,"")</f>
        <v>1</v>
      </c>
      <c r="AD66" s="378">
        <f>IF(AP53=AP57,$AQ$8,"")</f>
        <v>1</v>
      </c>
      <c r="AE66" s="382">
        <f>IF(AP53=AP58,$AQ$9,"")</f>
        <v>1</v>
      </c>
      <c r="AF66" s="384">
        <f>IF(AND(Z66="",AA66="",AB66="",AC66="",AD66="",AE66=""),0,IF(Y66&lt;SMALL(Z66:AE66,1),BP4,0))</f>
        <v>0</v>
      </c>
      <c r="AG66" s="395"/>
      <c r="AI66" s="335"/>
      <c r="AJ66" s="320">
        <f aca="true" t="shared" si="20" ref="AJ66:AJ71">IF(AND(J66=S66,J66&gt;0),1,"")</f>
      </c>
      <c r="AK66" s="318"/>
      <c r="AL66" s="294">
        <v>1</v>
      </c>
      <c r="AM66" s="670">
        <f aca="true" t="shared" si="21" ref="AM66:AM71">AP53</f>
        <v>0</v>
      </c>
      <c r="AN66" s="661">
        <f>IF(AJ66=1,AE5,0)</f>
        <v>0</v>
      </c>
      <c r="AO66" s="589">
        <f>IF(OR(AJ66=1,AND(AM66=AM67,AN67&gt;0),AND(AM66=AM68,AN68&gt;0),AND(AM66=AM69,AN69&gt;0),AND(AM66=AM70,AN70&gt;0),AND(AM66=AM71,AN71&gt;0)),0,AF66)</f>
        <v>0</v>
      </c>
      <c r="AP66" s="671">
        <f>AM66+AN66/1000000+AO66/100000000</f>
        <v>0</v>
      </c>
      <c r="AQ66" s="414">
        <f>RANK(AP66,AP66:AP71)</f>
        <v>1</v>
      </c>
      <c r="AR66" s="395"/>
      <c r="AS66" s="318"/>
    </row>
    <row r="67" spans="2:45" ht="15">
      <c r="B67" s="335"/>
      <c r="C67" s="302">
        <v>2</v>
      </c>
      <c r="D67" s="303">
        <f>IF(AP54=AP53,1,0)</f>
        <v>1</v>
      </c>
      <c r="E67" s="304"/>
      <c r="F67" s="305">
        <f>IF(AP54=AP55,1,0)</f>
        <v>1</v>
      </c>
      <c r="G67" s="305">
        <f>IF(AP54=AP56,1,0)</f>
        <v>1</v>
      </c>
      <c r="H67" s="305">
        <f>IF(AP54=AP57,1,0)</f>
        <v>1</v>
      </c>
      <c r="I67" s="323">
        <f>IF(AP54=AP58,1,0)</f>
        <v>1</v>
      </c>
      <c r="J67" s="339">
        <f>D67+F67+G67+H67+I67</f>
        <v>5</v>
      </c>
      <c r="K67" s="325"/>
      <c r="L67" s="302">
        <v>2</v>
      </c>
      <c r="M67" s="303">
        <f>IF(AND(AP54=AP53,$D$6=2),1,0)</f>
        <v>0</v>
      </c>
      <c r="N67" s="304"/>
      <c r="O67" s="305">
        <f>IF(AND(AP54=AP55,$F$6=2),1,0)</f>
        <v>0</v>
      </c>
      <c r="P67" s="305">
        <f>IF(AND(AP54=AP56,$G$6=2),1,0)</f>
        <v>0</v>
      </c>
      <c r="Q67" s="305">
        <f>IF(AND(AP54=AP57,$H$6=2),1,0)</f>
        <v>0</v>
      </c>
      <c r="R67" s="323">
        <f>IF(AND(AP54=AP58,$I$6=2),1,0)</f>
        <v>0</v>
      </c>
      <c r="S67" s="339">
        <f>M67+O67+P67+Q67+R67</f>
        <v>0</v>
      </c>
      <c r="T67" s="338"/>
      <c r="W67" s="335"/>
      <c r="X67" s="302">
        <v>2</v>
      </c>
      <c r="Y67" s="302">
        <f>$AQ$5</f>
        <v>1</v>
      </c>
      <c r="Z67" s="406">
        <f>IF(AP54=AP53,$AQ$4,"")</f>
        <v>1</v>
      </c>
      <c r="AA67" s="304"/>
      <c r="AB67" s="379">
        <f>IF(AP54=AP55,$AQ$6,"")</f>
        <v>1</v>
      </c>
      <c r="AC67" s="379">
        <f>IF(AP54=AP56,$AQ$7,"")</f>
        <v>1</v>
      </c>
      <c r="AD67" s="379">
        <f>IF(AP54=AP57,$AQ$8,"")</f>
        <v>1</v>
      </c>
      <c r="AE67" s="383">
        <f>IF(AP54=AP58,$AQ$9,"")</f>
        <v>1</v>
      </c>
      <c r="AF67" s="385">
        <f>IF(AND(Z67="",AA67="",AB67="",AC67="",AD67="",AE67=""),0,IF(Y67&lt;SMALL(Z67:AE67,1),BP5,0))</f>
        <v>0</v>
      </c>
      <c r="AG67" s="395"/>
      <c r="AI67" s="335"/>
      <c r="AJ67" s="322">
        <f t="shared" si="20"/>
      </c>
      <c r="AK67" s="318"/>
      <c r="AL67" s="302">
        <v>2</v>
      </c>
      <c r="AM67" s="416">
        <f t="shared" si="21"/>
        <v>0</v>
      </c>
      <c r="AN67" s="397">
        <f>IF(AJ67=1,AE6,0)</f>
        <v>0</v>
      </c>
      <c r="AO67" s="393">
        <f>IF(OR(AJ67=1,AND(AM67=AM66,AN66&gt;0),AND(AM67=AM68,AN68&gt;0),AND(AM67=AM69,AN69&gt;0),AND(AM67=AM70,AN70&gt;0),AND(AM67=AM71,AN71&gt;0)),0,AF67)</f>
        <v>0</v>
      </c>
      <c r="AP67" s="672">
        <f>AM67+AN67/1000000+AO67/100000000</f>
        <v>0</v>
      </c>
      <c r="AQ67" s="400">
        <f>RANK(AP67,AP66:AP71)</f>
        <v>1</v>
      </c>
      <c r="AR67" s="395"/>
      <c r="AS67" s="318"/>
    </row>
    <row r="68" spans="2:45" ht="15">
      <c r="B68" s="335"/>
      <c r="C68" s="302">
        <v>3</v>
      </c>
      <c r="D68" s="303">
        <f>IF(AP55=AP53,1,0)</f>
        <v>1</v>
      </c>
      <c r="E68" s="305">
        <f>IF(AP55=AP54,1,0)</f>
        <v>1</v>
      </c>
      <c r="F68" s="304"/>
      <c r="G68" s="305">
        <f>IF(AP55=AP56,1,0)</f>
        <v>1</v>
      </c>
      <c r="H68" s="305">
        <f>IF(AP55=AP57,1,0)</f>
        <v>1</v>
      </c>
      <c r="I68" s="323">
        <f>IF(AP55=AP58,1,0)</f>
        <v>1</v>
      </c>
      <c r="J68" s="339">
        <f>D68+E68+G68+H68+I68</f>
        <v>5</v>
      </c>
      <c r="K68" s="325"/>
      <c r="L68" s="302">
        <v>3</v>
      </c>
      <c r="M68" s="303">
        <f>IF(AND(AP55=AP53,$D$7=2),1,0)</f>
        <v>0</v>
      </c>
      <c r="N68" s="305">
        <f>IF(AND(AP55=AP54,$E$7=2),1,0)</f>
        <v>0</v>
      </c>
      <c r="O68" s="304"/>
      <c r="P68" s="305">
        <f>IF(AND(AP55=AP56,$G$7=2),1,0)</f>
        <v>0</v>
      </c>
      <c r="Q68" s="305">
        <f>IF(AND(AP55=AP57,$H$7=2),1,0)</f>
        <v>0</v>
      </c>
      <c r="R68" s="323">
        <f>IF(AND(AP55=AP58,$I$7=2),1,0)</f>
        <v>0</v>
      </c>
      <c r="S68" s="339">
        <f>M68+N68+P68+Q68+R68</f>
        <v>0</v>
      </c>
      <c r="T68" s="338"/>
      <c r="W68" s="335"/>
      <c r="X68" s="302">
        <v>3</v>
      </c>
      <c r="Y68" s="302">
        <f>$AQ$6</f>
        <v>1</v>
      </c>
      <c r="Z68" s="406">
        <f>IF(AP55=AP53,$AQ$4,"")</f>
        <v>1</v>
      </c>
      <c r="AA68" s="379">
        <f>IF(AP55=AP54,$AQ$5,"")</f>
        <v>1</v>
      </c>
      <c r="AB68" s="304"/>
      <c r="AC68" s="379">
        <f>IF(AP55=AP56,$AQ$7,"")</f>
        <v>1</v>
      </c>
      <c r="AD68" s="379">
        <f>IF(AP55=AP57,$AQ$8,"")</f>
        <v>1</v>
      </c>
      <c r="AE68" s="383">
        <f>IF(AP55=AP58,$AQ$9,"")</f>
        <v>1</v>
      </c>
      <c r="AF68" s="385">
        <f>IF(AND(Z68="",AA68="",AB68="",AC68="",AD68="",AE68=""),0,IF(Y68&lt;SMALL(Z68:AE68,1),BP6,0))</f>
        <v>0</v>
      </c>
      <c r="AG68" s="395"/>
      <c r="AI68" s="335"/>
      <c r="AJ68" s="322">
        <f t="shared" si="20"/>
      </c>
      <c r="AK68" s="318"/>
      <c r="AL68" s="302">
        <v>3</v>
      </c>
      <c r="AM68" s="416">
        <f t="shared" si="21"/>
        <v>0</v>
      </c>
      <c r="AN68" s="397">
        <f>IF(AJ68=1,AE7,0)</f>
        <v>0</v>
      </c>
      <c r="AO68" s="393">
        <f>IF(OR(AJ68=1,AND(AM68=AM66,AN66&gt;0),AND(AM68=AM67,AN67&gt;0),AND(AM68=AM69,AN69&gt;0),AND(AM68=AM70,AN70&gt;0),AND(AM68=AM71,AN71&gt;0)),0,AF68)</f>
        <v>0</v>
      </c>
      <c r="AP68" s="672">
        <f>AM68+AN68/1000000+AO68/100000000</f>
        <v>0</v>
      </c>
      <c r="AQ68" s="400">
        <f>RANK(AP68,AP66:AP71)</f>
        <v>1</v>
      </c>
      <c r="AR68" s="395"/>
      <c r="AS68" s="318"/>
    </row>
    <row r="69" spans="2:45" ht="15">
      <c r="B69" s="335"/>
      <c r="C69" s="302">
        <v>4</v>
      </c>
      <c r="D69" s="303">
        <f>IF(AP56=AP53,1,0)</f>
        <v>1</v>
      </c>
      <c r="E69" s="305">
        <f>IF(AP56=AP54,1,0)</f>
        <v>1</v>
      </c>
      <c r="F69" s="305">
        <f>IF(AP56=AP55,1,0)</f>
        <v>1</v>
      </c>
      <c r="G69" s="304"/>
      <c r="H69" s="305">
        <f>IF(AP56=AP57,1,0)</f>
        <v>1</v>
      </c>
      <c r="I69" s="323">
        <f>IF(AP56=AP58,1,0)</f>
        <v>1</v>
      </c>
      <c r="J69" s="339">
        <f>D69+E69+F69+H69+I69</f>
        <v>5</v>
      </c>
      <c r="K69" s="325"/>
      <c r="L69" s="302">
        <v>4</v>
      </c>
      <c r="M69" s="303">
        <f>IF(AND(AP56=AP53,$D$8=2),1,0)</f>
        <v>0</v>
      </c>
      <c r="N69" s="305">
        <f>IF(AND(AP56=AP54,$E$8=2),1,0)</f>
        <v>0</v>
      </c>
      <c r="O69" s="305">
        <f>IF(AND(AP56=AP55,$F$8=2),1,0)</f>
        <v>0</v>
      </c>
      <c r="P69" s="304"/>
      <c r="Q69" s="305">
        <f>IF(AND(AP56=AP57,$H$8=2),1,0)</f>
        <v>0</v>
      </c>
      <c r="R69" s="323">
        <f>IF(AND(AP56=AP58,$I$8=2),1,0)</f>
        <v>0</v>
      </c>
      <c r="S69" s="339">
        <f>M69+N69+O69+Q69+R69</f>
        <v>0</v>
      </c>
      <c r="T69" s="340"/>
      <c r="W69" s="335"/>
      <c r="X69" s="302">
        <v>4</v>
      </c>
      <c r="Y69" s="302">
        <f>$AQ$7</f>
        <v>1</v>
      </c>
      <c r="Z69" s="406">
        <f>IF(AP56=AP53,$AQ$4,"")</f>
        <v>1</v>
      </c>
      <c r="AA69" s="379">
        <f>IF(AP56=AP54,$AQ$5,"")</f>
        <v>1</v>
      </c>
      <c r="AB69" s="379">
        <f>IF(AP56=AP55,$AQ$6,"")</f>
        <v>1</v>
      </c>
      <c r="AC69" s="304"/>
      <c r="AD69" s="379">
        <f>IF(AP56=AP57,$AQ$8,"")</f>
        <v>1</v>
      </c>
      <c r="AE69" s="383">
        <f>IF(AP56=AP58,$AQ$9,"")</f>
        <v>1</v>
      </c>
      <c r="AF69" s="385">
        <f>IF(AND(Z69="",AA69="",AB69="",AC69="",AD69="",AE69=""),0,IF(Y69&lt;SMALL(Z69:AE69,1),BP7,0))</f>
        <v>0</v>
      </c>
      <c r="AG69" s="395"/>
      <c r="AI69" s="335"/>
      <c r="AJ69" s="322">
        <f t="shared" si="20"/>
      </c>
      <c r="AK69" s="324"/>
      <c r="AL69" s="359">
        <v>4</v>
      </c>
      <c r="AM69" s="416">
        <f t="shared" si="21"/>
        <v>0</v>
      </c>
      <c r="AN69" s="397">
        <f>IF(AJ69=1,AE8,0)</f>
        <v>0</v>
      </c>
      <c r="AO69" s="393">
        <f>IF(OR(AJ69=1,AND(AM69=AM66,AN66&gt;0),AND(AM69=AM67,AN67&gt;0),AND(AM69=AM68,AN68&gt;0),AND(AM69=AM70,AN70&gt;0),AND(AM69=AM71,AN71&gt;0)),0,AF69)</f>
        <v>0</v>
      </c>
      <c r="AP69" s="672">
        <f>AM69+AN69/1000000+AO69/100000000</f>
        <v>0</v>
      </c>
      <c r="AQ69" s="400">
        <f>RANK(AP69,AP66:AP71)</f>
        <v>1</v>
      </c>
      <c r="AR69" s="395"/>
      <c r="AS69" s="318"/>
    </row>
    <row r="70" spans="2:45" ht="15">
      <c r="B70" s="335"/>
      <c r="C70" s="302">
        <v>5</v>
      </c>
      <c r="D70" s="303">
        <f>IF(AP57=AP53,1,0)</f>
        <v>1</v>
      </c>
      <c r="E70" s="305">
        <f>IF(AP57=AP54,1,0)</f>
        <v>1</v>
      </c>
      <c r="F70" s="305">
        <f>IF(AP57=AP55,1,0)</f>
        <v>1</v>
      </c>
      <c r="G70" s="305">
        <f>IF(AP57=AP56,1,0)</f>
        <v>1</v>
      </c>
      <c r="H70" s="304"/>
      <c r="I70" s="323">
        <f>IF(AP57=AP58,1,0)</f>
        <v>1</v>
      </c>
      <c r="J70" s="341">
        <f>D70+E70+F70+G70+I70</f>
        <v>5</v>
      </c>
      <c r="K70" s="325"/>
      <c r="L70" s="302">
        <v>5</v>
      </c>
      <c r="M70" s="303">
        <f>IF(AND(AP57=AP53,$D$9=2),1,0)</f>
        <v>0</v>
      </c>
      <c r="N70" s="305">
        <f>IF(AND(AP57=AP54,$E$9=2),1,0)</f>
        <v>0</v>
      </c>
      <c r="O70" s="305">
        <f>IF(AND(AP57=AP55,$F$9=2),1,0)</f>
        <v>0</v>
      </c>
      <c r="P70" s="305">
        <f>IF(AND(AP57=AP56,$G$9=2),1,0)</f>
        <v>0</v>
      </c>
      <c r="Q70" s="304"/>
      <c r="R70" s="323">
        <f>IF(AND(AP57=AP58,$I$9=2),1,0)</f>
        <v>0</v>
      </c>
      <c r="S70" s="341">
        <f>M70+N70+O70+P70+R70</f>
        <v>0</v>
      </c>
      <c r="T70" s="342"/>
      <c r="W70" s="335"/>
      <c r="X70" s="302">
        <v>5</v>
      </c>
      <c r="Y70" s="302">
        <f>$AQ$8</f>
        <v>1</v>
      </c>
      <c r="Z70" s="406">
        <f>IF(AP57=AP53,$AQ$4,"")</f>
        <v>1</v>
      </c>
      <c r="AA70" s="379">
        <f>IF(AP57=AP54,$AQ$5,"")</f>
        <v>1</v>
      </c>
      <c r="AB70" s="379">
        <f>IF(AP57=AP55,$AQ$6,"")</f>
        <v>1</v>
      </c>
      <c r="AC70" s="379">
        <f>IF(AP57=AP56,$AQ$7,"")</f>
        <v>1</v>
      </c>
      <c r="AD70" s="304"/>
      <c r="AE70" s="383">
        <f>IF(AP57=AP58,$AQ$9,"")</f>
        <v>1</v>
      </c>
      <c r="AF70" s="385">
        <f>IF(AND(Z70="",AA70="",AB70="",AC70="",AD70="",AE70=""),0,IF(Y70&lt;SMALL(Z70:AE70,1),BP8,0))</f>
        <v>0</v>
      </c>
      <c r="AG70" s="395"/>
      <c r="AI70" s="335"/>
      <c r="AJ70" s="322">
        <f t="shared" si="20"/>
      </c>
      <c r="AK70" s="324"/>
      <c r="AL70" s="360">
        <v>5</v>
      </c>
      <c r="AM70" s="416">
        <f t="shared" si="21"/>
        <v>0</v>
      </c>
      <c r="AN70" s="397">
        <f>IF(AJ70=1,AE9,0)</f>
        <v>0</v>
      </c>
      <c r="AO70" s="393">
        <f>IF(OR(AJ70=1,AND(AM70=AM66,AN66&gt;0),AND(AM70=AM67,AN67&gt;0),AND(AM70=AM68,AN68&gt;0),AND(AM70=AM69,AN69&gt;0),AND(AM70=AM71,AN71&gt;0)),0,AF70)</f>
        <v>0</v>
      </c>
      <c r="AP70" s="672">
        <f>AM70+AN70/1000000+AO70/100000000</f>
        <v>0</v>
      </c>
      <c r="AQ70" s="400">
        <f>RANK(AP70,AP66:AP71)</f>
        <v>1</v>
      </c>
      <c r="AR70" s="395"/>
      <c r="AS70" s="318"/>
    </row>
    <row r="71" spans="2:45" ht="15.75" thickBot="1">
      <c r="B71" s="335"/>
      <c r="C71" s="310">
        <v>6</v>
      </c>
      <c r="D71" s="311">
        <f>IF(AP58=AP53,1,0)</f>
        <v>1</v>
      </c>
      <c r="E71" s="312">
        <f>IF(AP58=AP54,1,0)</f>
        <v>1</v>
      </c>
      <c r="F71" s="312">
        <f>IF(AP58=AP55,1,0)</f>
        <v>1</v>
      </c>
      <c r="G71" s="312">
        <f>IF(AP58=AP56,1,0)</f>
        <v>1</v>
      </c>
      <c r="H71" s="312">
        <f>IF(AP58=AP57,1,0)</f>
        <v>1</v>
      </c>
      <c r="I71" s="343"/>
      <c r="J71" s="344">
        <f>D71+E71+F71+G71+H71</f>
        <v>5</v>
      </c>
      <c r="K71" s="325"/>
      <c r="L71" s="310">
        <v>6</v>
      </c>
      <c r="M71" s="311">
        <f>IF(AND(AP58=AP53,$D$10=2),1,0)</f>
        <v>0</v>
      </c>
      <c r="N71" s="312">
        <f>IF(AND(AP58=AP54,$E$10=2),1,0)</f>
        <v>0</v>
      </c>
      <c r="O71" s="312">
        <f>IF(AND(AP58=AP55,$F$10=2),1,0)</f>
        <v>0</v>
      </c>
      <c r="P71" s="312">
        <f>IF(AND(AP58=AP56,$G$10=2),1,0)</f>
        <v>0</v>
      </c>
      <c r="Q71" s="312">
        <f>IF(AND(AP58=AP57,$H$10=2),1,0)</f>
        <v>0</v>
      </c>
      <c r="R71" s="343"/>
      <c r="S71" s="344">
        <f>M71+N71+O71+P71+Q71</f>
        <v>0</v>
      </c>
      <c r="T71" s="342"/>
      <c r="W71" s="335"/>
      <c r="X71" s="310">
        <v>6</v>
      </c>
      <c r="Y71" s="310">
        <f>$AQ$9</f>
        <v>1</v>
      </c>
      <c r="Z71" s="407">
        <f>IF(AP58=AP53,$AQ$4,"")</f>
        <v>1</v>
      </c>
      <c r="AA71" s="380">
        <f>IF(AP58=AP54,$AQ$5,"")</f>
        <v>1</v>
      </c>
      <c r="AB71" s="380">
        <f>IF(AP58=AP55,$AQ$6,"")</f>
        <v>1</v>
      </c>
      <c r="AC71" s="380">
        <f>IF(AP58=AP56,$AQ$7,"")</f>
        <v>1</v>
      </c>
      <c r="AD71" s="380">
        <f>IF(AP58=AP57,$AQ$8,"")</f>
        <v>1</v>
      </c>
      <c r="AE71" s="313"/>
      <c r="AF71" s="386">
        <f>IF(AND(Z71="",AA71="",AB71="",AC71="",AD71="",AE71=""),0,IF(Y71&lt;SMALL(Z71:AE71,1),BP9,0))</f>
        <v>0</v>
      </c>
      <c r="AG71" s="395"/>
      <c r="AI71" s="335"/>
      <c r="AJ71" s="326">
        <f t="shared" si="20"/>
      </c>
      <c r="AK71" s="324"/>
      <c r="AL71" s="361">
        <v>6</v>
      </c>
      <c r="AM71" s="417">
        <f t="shared" si="21"/>
        <v>0</v>
      </c>
      <c r="AN71" s="398">
        <f>IF(AJ71=1,AE10,0)</f>
        <v>0</v>
      </c>
      <c r="AO71" s="394">
        <f>IF(OR(AJ71=1,AND(AM71=AM66,AN66&gt;0),AND(AM71=AM67,AN67&gt;0),AND(AM71=AM68,AN68&gt;0),AND(AM71=AM69,AN69&gt;0),AND(AM71=AM70,AN70&gt;0)),0,AF71)</f>
        <v>0</v>
      </c>
      <c r="AP71" s="673">
        <f>AM71+AN71/1000000+AO71/100000000</f>
        <v>0</v>
      </c>
      <c r="AQ71" s="401">
        <f>RANK(AP71,AP66:AP71)</f>
        <v>1</v>
      </c>
      <c r="AR71" s="395"/>
      <c r="AS71" s="318"/>
    </row>
    <row r="72" spans="2:45" ht="15.75" thickBot="1">
      <c r="B72" s="345"/>
      <c r="C72" s="346"/>
      <c r="D72" s="346"/>
      <c r="E72" s="346"/>
      <c r="F72" s="347"/>
      <c r="G72" s="346"/>
      <c r="H72" s="346"/>
      <c r="I72" s="346"/>
      <c r="J72" s="346"/>
      <c r="K72" s="346"/>
      <c r="L72" s="346"/>
      <c r="M72" s="346"/>
      <c r="N72" s="346"/>
      <c r="O72" s="346"/>
      <c r="P72" s="346"/>
      <c r="Q72" s="348"/>
      <c r="R72" s="348"/>
      <c r="S72" s="348"/>
      <c r="T72" s="349"/>
      <c r="W72" s="345"/>
      <c r="X72" s="346"/>
      <c r="Y72" s="346"/>
      <c r="Z72" s="346"/>
      <c r="AA72" s="346"/>
      <c r="AB72" s="346"/>
      <c r="AC72" s="346"/>
      <c r="AD72" s="346"/>
      <c r="AE72" s="346"/>
      <c r="AF72" s="346"/>
      <c r="AG72" s="293"/>
      <c r="AI72" s="345"/>
      <c r="AJ72" s="346"/>
      <c r="AK72" s="348"/>
      <c r="AL72" s="346"/>
      <c r="AM72" s="346"/>
      <c r="AN72" s="346"/>
      <c r="AO72" s="346"/>
      <c r="AP72" s="346"/>
      <c r="AQ72" s="346"/>
      <c r="AR72" s="293"/>
      <c r="AS72" s="318"/>
    </row>
    <row r="75" ht="15">
      <c r="B75" s="284" t="s">
        <v>205</v>
      </c>
    </row>
    <row r="76" spans="3:36" ht="16.5" thickBot="1">
      <c r="C76" s="319" t="s">
        <v>217</v>
      </c>
      <c r="L76" s="328" t="s">
        <v>218</v>
      </c>
      <c r="O76" s="284"/>
      <c r="T76" s="325"/>
      <c r="W76" s="318"/>
      <c r="X76" s="284" t="s">
        <v>203</v>
      </c>
      <c r="AJ76" s="415" t="s">
        <v>182</v>
      </c>
    </row>
    <row r="77" spans="2:45" ht="15.75" thickBot="1">
      <c r="B77" s="329"/>
      <c r="C77" s="330"/>
      <c r="D77" s="330"/>
      <c r="E77" s="331"/>
      <c r="F77" s="332"/>
      <c r="G77" s="331"/>
      <c r="H77" s="331"/>
      <c r="I77" s="331"/>
      <c r="J77" s="331"/>
      <c r="K77" s="331"/>
      <c r="L77" s="330"/>
      <c r="M77" s="330"/>
      <c r="N77" s="330"/>
      <c r="O77" s="333"/>
      <c r="P77" s="330"/>
      <c r="Q77" s="330"/>
      <c r="R77" s="333"/>
      <c r="S77" s="330"/>
      <c r="T77" s="334"/>
      <c r="W77" s="329"/>
      <c r="X77" s="330"/>
      <c r="Y77" s="330"/>
      <c r="Z77" s="330"/>
      <c r="AA77" s="330"/>
      <c r="AB77" s="330"/>
      <c r="AC77" s="330"/>
      <c r="AD77" s="330"/>
      <c r="AE77" s="330"/>
      <c r="AF77" s="330"/>
      <c r="AG77" s="399"/>
      <c r="AI77" s="329"/>
      <c r="AJ77" s="330"/>
      <c r="AK77" s="330"/>
      <c r="AL77" s="410"/>
      <c r="AM77" s="330"/>
      <c r="AN77" s="330"/>
      <c r="AO77" s="330"/>
      <c r="AP77" s="330"/>
      <c r="AQ77" s="330"/>
      <c r="AR77" s="399"/>
      <c r="AS77" s="318"/>
    </row>
    <row r="78" spans="2:45" ht="15.75" thickBot="1">
      <c r="B78" s="335"/>
      <c r="C78" s="286"/>
      <c r="D78" s="287">
        <v>1</v>
      </c>
      <c r="E78" s="288">
        <v>2</v>
      </c>
      <c r="F78" s="288">
        <v>3</v>
      </c>
      <c r="G78" s="288">
        <v>4</v>
      </c>
      <c r="H78" s="288">
        <v>5</v>
      </c>
      <c r="I78" s="289">
        <v>6</v>
      </c>
      <c r="J78" s="334" t="s">
        <v>182</v>
      </c>
      <c r="K78" s="325"/>
      <c r="L78" s="286"/>
      <c r="M78" s="287">
        <v>1</v>
      </c>
      <c r="N78" s="288">
        <v>2</v>
      </c>
      <c r="O78" s="288">
        <v>3</v>
      </c>
      <c r="P78" s="288">
        <v>4</v>
      </c>
      <c r="Q78" s="288">
        <v>5</v>
      </c>
      <c r="R78" s="289">
        <v>6</v>
      </c>
      <c r="S78" s="334" t="s">
        <v>182</v>
      </c>
      <c r="T78" s="336"/>
      <c r="W78" s="335"/>
      <c r="X78" s="286"/>
      <c r="Y78" s="390" t="s">
        <v>195</v>
      </c>
      <c r="Z78" s="287">
        <v>1</v>
      </c>
      <c r="AA78" s="288">
        <v>2</v>
      </c>
      <c r="AB78" s="288">
        <v>3</v>
      </c>
      <c r="AC78" s="288">
        <v>4</v>
      </c>
      <c r="AD78" s="288">
        <v>5</v>
      </c>
      <c r="AE78" s="289">
        <v>6</v>
      </c>
      <c r="AF78" s="334"/>
      <c r="AG78" s="395"/>
      <c r="AI78" s="335"/>
      <c r="AJ78" s="413" t="s">
        <v>227</v>
      </c>
      <c r="AK78" s="318"/>
      <c r="AL78" s="286"/>
      <c r="AM78" s="665" t="s">
        <v>199</v>
      </c>
      <c r="AN78" s="288" t="s">
        <v>196</v>
      </c>
      <c r="AO78" s="288" t="s">
        <v>197</v>
      </c>
      <c r="AP78" s="596" t="s">
        <v>216</v>
      </c>
      <c r="AQ78" s="413" t="s">
        <v>104</v>
      </c>
      <c r="AR78" s="395"/>
      <c r="AS78" s="318"/>
    </row>
    <row r="79" spans="2:45" ht="15">
      <c r="B79" s="335"/>
      <c r="C79" s="294">
        <v>1</v>
      </c>
      <c r="D79" s="295"/>
      <c r="E79" s="296">
        <f>IF(AP66=AP67,1,0)</f>
        <v>1</v>
      </c>
      <c r="F79" s="296">
        <f>IF(AP66=AP68,1,0)</f>
        <v>1</v>
      </c>
      <c r="G79" s="296">
        <f>IF(AP66=AP69,1,0)</f>
        <v>1</v>
      </c>
      <c r="H79" s="296">
        <f>IF(AP66=AP70,1,0)</f>
        <v>1</v>
      </c>
      <c r="I79" s="321">
        <f>IF(AP66=AP71,1,0)</f>
        <v>1</v>
      </c>
      <c r="J79" s="337">
        <f>E79+F79+G79+H79+I79</f>
        <v>5</v>
      </c>
      <c r="K79" s="325"/>
      <c r="L79" s="294">
        <v>1</v>
      </c>
      <c r="M79" s="295"/>
      <c r="N79" s="296">
        <f>IF(AND(AP66=AP67,$E$5=2),1,0)</f>
        <v>0</v>
      </c>
      <c r="O79" s="296">
        <f>IF(AND(AP66=AP68,$F$5=2),1,0)</f>
        <v>0</v>
      </c>
      <c r="P79" s="296">
        <f>IF(AND(AP66=AP69,$G$5=2),1,0)</f>
        <v>0</v>
      </c>
      <c r="Q79" s="296">
        <f>IF(AND(AP66=AP70,$H$5=2),1,0)</f>
        <v>0</v>
      </c>
      <c r="R79" s="321">
        <f>IF(AND(AP66=AP71,$I$5=2),1,0)</f>
        <v>0</v>
      </c>
      <c r="S79" s="337">
        <f>N79+O79+P79+Q79+R79</f>
        <v>0</v>
      </c>
      <c r="T79" s="338"/>
      <c r="W79" s="335"/>
      <c r="X79" s="294">
        <v>1</v>
      </c>
      <c r="Y79" s="358">
        <f>$AQ$4</f>
        <v>1</v>
      </c>
      <c r="Z79" s="295"/>
      <c r="AA79" s="378">
        <f>IF(AP66=AP67,$AQ$5,"")</f>
        <v>1</v>
      </c>
      <c r="AB79" s="378">
        <f>IF(AP66=AP68,$AQ$6,"")</f>
        <v>1</v>
      </c>
      <c r="AC79" s="378">
        <f>IF(AP66=AP69,$AQ$7,"")</f>
        <v>1</v>
      </c>
      <c r="AD79" s="378">
        <f>IF(AP66=AP70,$AQ$8,"")</f>
        <v>1</v>
      </c>
      <c r="AE79" s="382">
        <f>IF(AP66=AP71,$AQ$9,"")</f>
        <v>1</v>
      </c>
      <c r="AF79" s="678">
        <f>IF(AND(Z79="",AA79="",AB79="",AC79="",AD79="",AE79=""),0,IF(Y79&lt;SMALL(Z79:AE79,1),BP4,0))</f>
        <v>0</v>
      </c>
      <c r="AG79" s="395"/>
      <c r="AI79" s="335"/>
      <c r="AJ79" s="320">
        <f aca="true" t="shared" si="22" ref="AJ79:AJ84">IF(AND(J79=S79,J79&gt;0),1,"")</f>
      </c>
      <c r="AK79" s="318"/>
      <c r="AL79" s="294">
        <v>1</v>
      </c>
      <c r="AM79" s="674">
        <f aca="true" t="shared" si="23" ref="AM79:AM84">AP66</f>
        <v>0</v>
      </c>
      <c r="AN79" s="661">
        <f>IF(AJ79=1,AE5,0)</f>
        <v>0</v>
      </c>
      <c r="AO79" s="661">
        <f>IF(OR(AJ79=1,AND(AM79=AM80,AN80&gt;0),AND(AM79=AM81,AN81&gt;0),AND(AM79=AM82,AN82&gt;0),AND(AM79=AM83,AN83&gt;0),AND(AM79=AM84,AN84&gt;0)),0,AF79)</f>
        <v>0</v>
      </c>
      <c r="AP79" s="675">
        <f>AM79+AN79/100000000+AO79/10000000000</f>
        <v>0</v>
      </c>
      <c r="AQ79" s="414">
        <f>RANK(AP79,AP79:AP84)</f>
        <v>1</v>
      </c>
      <c r="AR79" s="395"/>
      <c r="AS79" s="318"/>
    </row>
    <row r="80" spans="2:45" ht="15">
      <c r="B80" s="335"/>
      <c r="C80" s="302">
        <v>2</v>
      </c>
      <c r="D80" s="303">
        <f>IF(AP67=AP66,1,0)</f>
        <v>1</v>
      </c>
      <c r="E80" s="304"/>
      <c r="F80" s="305">
        <f>IF(AP67=AP68,1,0)</f>
        <v>1</v>
      </c>
      <c r="G80" s="305">
        <f>IF(AP67=AP69,1,0)</f>
        <v>1</v>
      </c>
      <c r="H80" s="305">
        <f>IF(AP67=AP70,1,0)</f>
        <v>1</v>
      </c>
      <c r="I80" s="323">
        <f>IF(AP67=AP71,1,0)</f>
        <v>1</v>
      </c>
      <c r="J80" s="339">
        <f>D80+F80+G80+H80+I80</f>
        <v>5</v>
      </c>
      <c r="K80" s="325"/>
      <c r="L80" s="302">
        <v>2</v>
      </c>
      <c r="M80" s="303">
        <f>IF(AND(AP67=AP66,$D$6=2),1,0)</f>
        <v>0</v>
      </c>
      <c r="N80" s="304"/>
      <c r="O80" s="305">
        <f>IF(AND(AP67=AP68,$F$6=2),1,0)</f>
        <v>0</v>
      </c>
      <c r="P80" s="305">
        <f>IF(AND(AP67=AP69,$G$6=2),1,0)</f>
        <v>0</v>
      </c>
      <c r="Q80" s="305">
        <f>IF(AND(AP67=AP70,$H$6=2),1,0)</f>
        <v>0</v>
      </c>
      <c r="R80" s="323">
        <f>IF(AND(AP67=AP71,$I$6=2),1,0)</f>
        <v>0</v>
      </c>
      <c r="S80" s="339">
        <f>M80+O80+P80+Q80+R80</f>
        <v>0</v>
      </c>
      <c r="T80" s="338"/>
      <c r="W80" s="335"/>
      <c r="X80" s="302">
        <v>2</v>
      </c>
      <c r="Y80" s="302">
        <f>$AQ$5</f>
        <v>1</v>
      </c>
      <c r="Z80" s="406">
        <f>IF(AP67=AP66,$AQ$4,"")</f>
        <v>1</v>
      </c>
      <c r="AA80" s="304"/>
      <c r="AB80" s="379">
        <f>IF(AP67=AP68,$AQ$6,"")</f>
        <v>1</v>
      </c>
      <c r="AC80" s="379">
        <f>IF(AP67=AP69,$AQ$7,"")</f>
        <v>1</v>
      </c>
      <c r="AD80" s="379">
        <f>IF(AP67=AP70,$AQ$8,"")</f>
        <v>1</v>
      </c>
      <c r="AE80" s="383">
        <f>IF(AP67=AP71,$AQ$9,"")</f>
        <v>1</v>
      </c>
      <c r="AF80" s="679">
        <f>IF(AND(Z80="",AA80="",AB80="",AC80="",AD80="",AE80=""),0,IF(Y80&lt;SMALL(Z80:AE80,1),BP5,0))</f>
        <v>0</v>
      </c>
      <c r="AG80" s="395"/>
      <c r="AI80" s="335"/>
      <c r="AJ80" s="322">
        <f t="shared" si="22"/>
      </c>
      <c r="AK80" s="318"/>
      <c r="AL80" s="302">
        <v>2</v>
      </c>
      <c r="AM80" s="636">
        <f t="shared" si="23"/>
        <v>0</v>
      </c>
      <c r="AN80" s="397">
        <f>IF(AJ80=1,AE6,0)</f>
        <v>0</v>
      </c>
      <c r="AO80" s="397">
        <f>IF(OR(AJ80=1,AND(AM80=AM79,AN79&gt;0),AND(AM80=AM81,AN81&gt;0),AND(AM80=AM82,AN82&gt;0),AND(AM80=AM83,AN83&gt;0),AND(AM80=AM84,AN84&gt;0)),0,AF80)</f>
        <v>0</v>
      </c>
      <c r="AP80" s="676">
        <f>AM80+AN80/100000000+AO80/10000000000</f>
        <v>0</v>
      </c>
      <c r="AQ80" s="400">
        <f>RANK(AP80,AP79:AP84)</f>
        <v>1</v>
      </c>
      <c r="AR80" s="395"/>
      <c r="AS80" s="318"/>
    </row>
    <row r="81" spans="2:45" ht="15">
      <c r="B81" s="335"/>
      <c r="C81" s="302">
        <v>3</v>
      </c>
      <c r="D81" s="303">
        <f>IF(AP68=AP66,1,0)</f>
        <v>1</v>
      </c>
      <c r="E81" s="305">
        <f>IF(AP68=AP67,1,0)</f>
        <v>1</v>
      </c>
      <c r="F81" s="304"/>
      <c r="G81" s="305">
        <f>IF(AP68=AP69,1,0)</f>
        <v>1</v>
      </c>
      <c r="H81" s="305">
        <f>IF(AP68=AP70,1,0)</f>
        <v>1</v>
      </c>
      <c r="I81" s="323">
        <f>IF(AP68=AP71,1,0)</f>
        <v>1</v>
      </c>
      <c r="J81" s="339">
        <f>D81+E81+G81+H81+I81</f>
        <v>5</v>
      </c>
      <c r="K81" s="325"/>
      <c r="L81" s="302">
        <v>3</v>
      </c>
      <c r="M81" s="303">
        <f>IF(AND(AP68=AP66,$D$7=2),1,0)</f>
        <v>0</v>
      </c>
      <c r="N81" s="305">
        <f>IF(AND(AP68=AP67,$E$7=2),1,0)</f>
        <v>0</v>
      </c>
      <c r="O81" s="304"/>
      <c r="P81" s="305">
        <f>IF(AND(AP68=AP69,$G$7=2),1,0)</f>
        <v>0</v>
      </c>
      <c r="Q81" s="305">
        <f>IF(AND(AP68=AP70,$H$7=2),1,0)</f>
        <v>0</v>
      </c>
      <c r="R81" s="323">
        <f>IF(AND(AP68=AP71,$I$7=2),1,0)</f>
        <v>0</v>
      </c>
      <c r="S81" s="339">
        <f>M81+N81+P81+Q81+R81</f>
        <v>0</v>
      </c>
      <c r="T81" s="338"/>
      <c r="W81" s="335"/>
      <c r="X81" s="302">
        <v>3</v>
      </c>
      <c r="Y81" s="302">
        <f>$AQ$6</f>
        <v>1</v>
      </c>
      <c r="Z81" s="406">
        <f>IF(AP68=AP66,$AQ$4,"")</f>
        <v>1</v>
      </c>
      <c r="AA81" s="379">
        <f>IF(AP68=AP67,$AQ$5,"")</f>
        <v>1</v>
      </c>
      <c r="AB81" s="304"/>
      <c r="AC81" s="379">
        <f>IF(AP68=AP69,$AQ$7,"")</f>
        <v>1</v>
      </c>
      <c r="AD81" s="379">
        <f>IF(AP68=AP70,$AQ$8,"")</f>
        <v>1</v>
      </c>
      <c r="AE81" s="383">
        <f>IF(AP68=AP71,$AQ$9,"")</f>
        <v>1</v>
      </c>
      <c r="AF81" s="679">
        <f>IF(AND(Z81="",AA81="",AB81="",AC81="",AD81="",AE81=""),0,IF(Y81&lt;SMALL(Z81:AE81,1),BP6,0))</f>
        <v>0</v>
      </c>
      <c r="AG81" s="395"/>
      <c r="AI81" s="335"/>
      <c r="AJ81" s="322">
        <f t="shared" si="22"/>
      </c>
      <c r="AK81" s="318"/>
      <c r="AL81" s="302">
        <v>3</v>
      </c>
      <c r="AM81" s="636">
        <f t="shared" si="23"/>
        <v>0</v>
      </c>
      <c r="AN81" s="397">
        <f>IF(AJ81=1,AE7,0)</f>
        <v>0</v>
      </c>
      <c r="AO81" s="397">
        <f>IF(OR(AJ81=1,AND(AM81=AM79,AN79&gt;0),AND(AM81=AM80,AN80&gt;0),AND(AM81=AM82,AN82&gt;0),AND(AM81=AM83,AN83&gt;0),AND(AM81=AM84,AN84&gt;0)),0,AF81)</f>
        <v>0</v>
      </c>
      <c r="AP81" s="676">
        <f>AM81+AN81/100000000+AO81/10000000000</f>
        <v>0</v>
      </c>
      <c r="AQ81" s="400">
        <f>RANK(AP81,AP79:AP84)</f>
        <v>1</v>
      </c>
      <c r="AR81" s="395"/>
      <c r="AS81" s="318"/>
    </row>
    <row r="82" spans="2:45" ht="15">
      <c r="B82" s="335"/>
      <c r="C82" s="302">
        <v>4</v>
      </c>
      <c r="D82" s="303">
        <f>IF(AP69=AP66,1,0)</f>
        <v>1</v>
      </c>
      <c r="E82" s="305">
        <f>IF(AP69=AP67,1,0)</f>
        <v>1</v>
      </c>
      <c r="F82" s="305">
        <f>IF(AP69=AP68,1,0)</f>
        <v>1</v>
      </c>
      <c r="G82" s="304"/>
      <c r="H82" s="305">
        <f>IF(AP69=AP70,1,0)</f>
        <v>1</v>
      </c>
      <c r="I82" s="323">
        <f>IF(AP69=AP71,1,0)</f>
        <v>1</v>
      </c>
      <c r="J82" s="339">
        <f>D82+E82+F82+H82+I82</f>
        <v>5</v>
      </c>
      <c r="K82" s="325"/>
      <c r="L82" s="302">
        <v>4</v>
      </c>
      <c r="M82" s="303">
        <f>IF(AND(AP69=AP66,$D$8=2),1,0)</f>
        <v>0</v>
      </c>
      <c r="N82" s="305">
        <f>IF(AND(AP69=AP67,$E$8=2),1,0)</f>
        <v>0</v>
      </c>
      <c r="O82" s="305">
        <f>IF(AND(AP69=AP68,$F$8=2),1,0)</f>
        <v>0</v>
      </c>
      <c r="P82" s="304"/>
      <c r="Q82" s="305">
        <f>IF(AND(AP69=AP70,$H$8=2),1,0)</f>
        <v>0</v>
      </c>
      <c r="R82" s="323">
        <f>IF(AND(AP69=AP71,$I$8=2),1,0)</f>
        <v>0</v>
      </c>
      <c r="S82" s="339">
        <f>M82+N82+O82+Q82+R82</f>
        <v>0</v>
      </c>
      <c r="T82" s="340"/>
      <c r="W82" s="335"/>
      <c r="X82" s="302">
        <v>4</v>
      </c>
      <c r="Y82" s="302">
        <f>$AQ$7</f>
        <v>1</v>
      </c>
      <c r="Z82" s="406">
        <f>IF(AP69=AP66,$AQ$4,"")</f>
        <v>1</v>
      </c>
      <c r="AA82" s="379">
        <f>IF(AP69=AP67,$AQ$5,"")</f>
        <v>1</v>
      </c>
      <c r="AB82" s="379">
        <f>IF(AP69=AP68,$AQ$6,"")</f>
        <v>1</v>
      </c>
      <c r="AC82" s="304"/>
      <c r="AD82" s="379">
        <f>IF(AP69=AP70,$AQ$8,"")</f>
        <v>1</v>
      </c>
      <c r="AE82" s="383">
        <f>IF(AP69=AP71,$AQ$9,"")</f>
        <v>1</v>
      </c>
      <c r="AF82" s="679">
        <f>IF(AND(Z82="",AA82="",AB82="",AC82="",AD82="",AE82=""),0,IF(Y82&lt;SMALL(Z82:AE82,1),BP7,0))</f>
        <v>0</v>
      </c>
      <c r="AG82" s="395"/>
      <c r="AI82" s="335"/>
      <c r="AJ82" s="322">
        <f t="shared" si="22"/>
      </c>
      <c r="AK82" s="324"/>
      <c r="AL82" s="359">
        <v>4</v>
      </c>
      <c r="AM82" s="636">
        <f t="shared" si="23"/>
        <v>0</v>
      </c>
      <c r="AN82" s="397">
        <f>IF(AJ82=1,AE8,0)</f>
        <v>0</v>
      </c>
      <c r="AO82" s="397">
        <f>IF(OR(AJ82=1,AND(AM82=AM79,AN79&gt;0),AND(AM82=AM80,AN80&gt;0),AND(AM82=AM81,AN81&gt;0),AND(AM82=AM83,AN83&gt;0),AND(AM82=AM84,AN84&gt;0)),0,AF82)</f>
        <v>0</v>
      </c>
      <c r="AP82" s="676">
        <f>AM82+AN82/100000000+AO82/10000000000</f>
        <v>0</v>
      </c>
      <c r="AQ82" s="400">
        <f>RANK(AP82,AP79:AP84)</f>
        <v>1</v>
      </c>
      <c r="AR82" s="395"/>
      <c r="AS82" s="318"/>
    </row>
    <row r="83" spans="2:45" ht="15">
      <c r="B83" s="335"/>
      <c r="C83" s="302">
        <v>5</v>
      </c>
      <c r="D83" s="303">
        <f>IF(AP70=AP66,1,0)</f>
        <v>1</v>
      </c>
      <c r="E83" s="305">
        <f>IF(AP70=AP67,1,0)</f>
        <v>1</v>
      </c>
      <c r="F83" s="305">
        <f>IF(AP70=AP68,1,0)</f>
        <v>1</v>
      </c>
      <c r="G83" s="305">
        <f>IF(AP70=AP69,1,0)</f>
        <v>1</v>
      </c>
      <c r="H83" s="304"/>
      <c r="I83" s="323">
        <f>IF(AP70=AP71,1,0)</f>
        <v>1</v>
      </c>
      <c r="J83" s="341">
        <f>D83+E83+F83+G83+I83</f>
        <v>5</v>
      </c>
      <c r="K83" s="325"/>
      <c r="L83" s="302">
        <v>5</v>
      </c>
      <c r="M83" s="303">
        <f>IF(AND(AP70=AP66,$D$9=2),1,0)</f>
        <v>0</v>
      </c>
      <c r="N83" s="305">
        <f>IF(AND(AP70=AP67,$E$9=2),1,0)</f>
        <v>0</v>
      </c>
      <c r="O83" s="305">
        <f>IF(AND(AP70=AP68,$F$9=2),1,0)</f>
        <v>0</v>
      </c>
      <c r="P83" s="305">
        <f>IF(AND(AP70=AP69,$G$9=2),1,0)</f>
        <v>0</v>
      </c>
      <c r="Q83" s="304"/>
      <c r="R83" s="323">
        <f>IF(AND(AP70=AP71,$I$9=2),1,0)</f>
        <v>0</v>
      </c>
      <c r="S83" s="341">
        <f>M83+N83+O83+P83+R83</f>
        <v>0</v>
      </c>
      <c r="T83" s="342"/>
      <c r="W83" s="335"/>
      <c r="X83" s="302">
        <v>5</v>
      </c>
      <c r="Y83" s="302">
        <f>$AQ$8</f>
        <v>1</v>
      </c>
      <c r="Z83" s="406">
        <f>IF(AP70=AP66,$AQ$4,"")</f>
        <v>1</v>
      </c>
      <c r="AA83" s="379">
        <f>IF(AP70=AP67,$AQ$5,"")</f>
        <v>1</v>
      </c>
      <c r="AB83" s="379">
        <f>IF(AP70=AP68,$AQ$6,"")</f>
        <v>1</v>
      </c>
      <c r="AC83" s="379">
        <f>IF(AP70=AP69,$AQ$7,"")</f>
        <v>1</v>
      </c>
      <c r="AD83" s="304"/>
      <c r="AE83" s="383">
        <f>IF(AP70=AP71,$AQ$9,"")</f>
        <v>1</v>
      </c>
      <c r="AF83" s="679">
        <f>IF(AND(Z83="",AA83="",AB83="",AC83="",AD83="",AE83=""),0,IF(Y83&lt;SMALL(Z83:AE83,1),BP8,0))</f>
        <v>0</v>
      </c>
      <c r="AG83" s="395"/>
      <c r="AI83" s="335"/>
      <c r="AJ83" s="322">
        <f t="shared" si="22"/>
      </c>
      <c r="AK83" s="324"/>
      <c r="AL83" s="360">
        <v>5</v>
      </c>
      <c r="AM83" s="636">
        <f t="shared" si="23"/>
        <v>0</v>
      </c>
      <c r="AN83" s="397">
        <f>IF(AJ83=1,AE9,0)</f>
        <v>0</v>
      </c>
      <c r="AO83" s="397">
        <f>IF(OR(AJ83=1,AND(AM83=AM79,AN79&gt;0),AND(AM83=AM80,AN80&gt;0),AND(AM83=AM81,AN81&gt;0),AND(AM83=AM82,AN82&gt;0),AND(AM83=AM84,AN84&gt;0)),0,AF83)</f>
        <v>0</v>
      </c>
      <c r="AP83" s="676">
        <f>AM83+AN83/100000000+AO83/10000000000</f>
        <v>0</v>
      </c>
      <c r="AQ83" s="400">
        <f>RANK(AP83,AP79:AP84)</f>
        <v>1</v>
      </c>
      <c r="AR83" s="395"/>
      <c r="AS83" s="318"/>
    </row>
    <row r="84" spans="2:45" ht="15.75" thickBot="1">
      <c r="B84" s="335"/>
      <c r="C84" s="310">
        <v>6</v>
      </c>
      <c r="D84" s="311">
        <f>IF(AP71=AP66,1,0)</f>
        <v>1</v>
      </c>
      <c r="E84" s="312">
        <f>IF(AP71=AP67,1,0)</f>
        <v>1</v>
      </c>
      <c r="F84" s="312">
        <f>IF(AP71=AP68,1,0)</f>
        <v>1</v>
      </c>
      <c r="G84" s="312">
        <f>IF(AP71=AP69,1,0)</f>
        <v>1</v>
      </c>
      <c r="H84" s="312">
        <f>IF(AP71=AP70,1,0)</f>
        <v>1</v>
      </c>
      <c r="I84" s="343"/>
      <c r="J84" s="344">
        <f>D84+E84+F84+G84+H84</f>
        <v>5</v>
      </c>
      <c r="K84" s="325"/>
      <c r="L84" s="310">
        <v>6</v>
      </c>
      <c r="M84" s="311">
        <f>IF(AND(AP71=AP66,$D$10=2),1,0)</f>
        <v>0</v>
      </c>
      <c r="N84" s="312">
        <f>IF(AND(AP71=AP67,$E$10=2),1,0)</f>
        <v>0</v>
      </c>
      <c r="O84" s="312">
        <f>IF(AND(AP71=AP68,$F$10=2),1,0)</f>
        <v>0</v>
      </c>
      <c r="P84" s="312">
        <f>IF(AND(AP71=AP69,$G$10=2),1,0)</f>
        <v>0</v>
      </c>
      <c r="Q84" s="312">
        <f>IF(AND(AP71=AP70,$H$10=2),1,0)</f>
        <v>0</v>
      </c>
      <c r="R84" s="343"/>
      <c r="S84" s="344">
        <f>M84+N84+O84+P84+Q84</f>
        <v>0</v>
      </c>
      <c r="T84" s="342"/>
      <c r="W84" s="335"/>
      <c r="X84" s="310">
        <v>6</v>
      </c>
      <c r="Y84" s="310">
        <f>$AQ$9</f>
        <v>1</v>
      </c>
      <c r="Z84" s="407">
        <f>IF(AP71=AP66,$AQ$4,"")</f>
        <v>1</v>
      </c>
      <c r="AA84" s="380">
        <f>IF(AP71=AP67,$AQ$5,"")</f>
        <v>1</v>
      </c>
      <c r="AB84" s="380">
        <f>IF(AP71=AP68,$AQ$6,"")</f>
        <v>1</v>
      </c>
      <c r="AC84" s="380">
        <f>IF(AP71=AP69,$AQ$7,"")</f>
        <v>1</v>
      </c>
      <c r="AD84" s="380">
        <f>IF(AP71=AP70,$AQ$8,"")</f>
        <v>1</v>
      </c>
      <c r="AE84" s="313"/>
      <c r="AF84" s="680">
        <f>IF(AND(Z84="",AA84="",AB84="",AC84="",AD84="",AE84=""),0,IF(Y84&lt;SMALL(Z84:AE84,1),BP9,0))</f>
        <v>0</v>
      </c>
      <c r="AG84" s="395"/>
      <c r="AI84" s="335"/>
      <c r="AJ84" s="326">
        <f t="shared" si="22"/>
      </c>
      <c r="AK84" s="324"/>
      <c r="AL84" s="361">
        <v>6</v>
      </c>
      <c r="AM84" s="637">
        <f t="shared" si="23"/>
        <v>0</v>
      </c>
      <c r="AN84" s="398">
        <f>IF(AJ84=1,AE10,0)</f>
        <v>0</v>
      </c>
      <c r="AO84" s="398">
        <f>IF(OR(AJ84=1,AND(AM84=AM79,AN79&gt;0),AND(AM84=AM80,AN80&gt;0),AND(AM84=AM81,AN81&gt;0),AND(AM84=AM82,AN82&gt;0),AND(AM84=AM83,AN83&gt;0)),0,AF84)</f>
        <v>0</v>
      </c>
      <c r="AP84" s="677">
        <f>AM84+AN84/100000000+AO84/10000000000</f>
        <v>0</v>
      </c>
      <c r="AQ84" s="401">
        <f>RANK(AP84,AP79:AP84)</f>
        <v>1</v>
      </c>
      <c r="AR84" s="395"/>
      <c r="AS84" s="318"/>
    </row>
    <row r="85" spans="2:45" ht="15.75" thickBot="1">
      <c r="B85" s="345"/>
      <c r="C85" s="346"/>
      <c r="D85" s="346"/>
      <c r="E85" s="346"/>
      <c r="F85" s="347"/>
      <c r="G85" s="346"/>
      <c r="H85" s="346"/>
      <c r="I85" s="346"/>
      <c r="J85" s="346"/>
      <c r="K85" s="346"/>
      <c r="L85" s="346"/>
      <c r="M85" s="346"/>
      <c r="N85" s="346"/>
      <c r="O85" s="346"/>
      <c r="P85" s="346"/>
      <c r="Q85" s="348"/>
      <c r="R85" s="348"/>
      <c r="S85" s="348"/>
      <c r="T85" s="349"/>
      <c r="W85" s="345"/>
      <c r="X85" s="346"/>
      <c r="Y85" s="346"/>
      <c r="Z85" s="346"/>
      <c r="AA85" s="346"/>
      <c r="AB85" s="346"/>
      <c r="AC85" s="346"/>
      <c r="AD85" s="346"/>
      <c r="AE85" s="346"/>
      <c r="AF85" s="346"/>
      <c r="AG85" s="293"/>
      <c r="AI85" s="345"/>
      <c r="AJ85" s="346"/>
      <c r="AK85" s="348"/>
      <c r="AL85" s="346"/>
      <c r="AM85" s="346"/>
      <c r="AN85" s="346"/>
      <c r="AO85" s="346"/>
      <c r="AP85" s="346"/>
      <c r="AQ85" s="346"/>
      <c r="AR85" s="293"/>
      <c r="AS85" s="318"/>
    </row>
  </sheetData>
  <sheetProtection password="814D" sheet="1" objects="1" scenarios="1" selectLockedCells="1"/>
  <mergeCells count="14">
    <mergeCell ref="S16:U16"/>
    <mergeCell ref="BU3:BY3"/>
    <mergeCell ref="BZ3:CF3"/>
    <mergeCell ref="AI13:AR13"/>
    <mergeCell ref="B13:T13"/>
    <mergeCell ref="W13:AG13"/>
    <mergeCell ref="BU4:BY4"/>
    <mergeCell ref="CA4:CE4"/>
    <mergeCell ref="AT13:BS13"/>
    <mergeCell ref="D16:F16"/>
    <mergeCell ref="G16:I16"/>
    <mergeCell ref="J16:L16"/>
    <mergeCell ref="M16:O16"/>
    <mergeCell ref="P16:R16"/>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Tabelle6"/>
  <dimension ref="A1:AH122"/>
  <sheetViews>
    <sheetView zoomScalePageLayoutView="0" workbookViewId="0" topLeftCell="A79">
      <selection activeCell="C100" sqref="C100"/>
    </sheetView>
  </sheetViews>
  <sheetFormatPr defaultColWidth="11.421875" defaultRowHeight="12.75"/>
  <cols>
    <col min="1" max="1" width="4.421875" style="92" customWidth="1"/>
    <col min="2" max="2" width="28.7109375" style="91" customWidth="1"/>
    <col min="3" max="3" width="19.00390625" style="91" customWidth="1"/>
    <col min="4" max="4" width="17.7109375" style="91" customWidth="1"/>
    <col min="5" max="6" width="11.421875" style="91" customWidth="1"/>
    <col min="7" max="7" width="16.140625" style="91" customWidth="1"/>
    <col min="8" max="9" width="11.421875" style="91" customWidth="1"/>
    <col min="10" max="10" width="75.140625" style="91" customWidth="1"/>
    <col min="11" max="11" width="18.8515625" style="91" customWidth="1"/>
    <col min="12" max="12" width="17.140625" style="91" customWidth="1"/>
    <col min="13" max="13" width="4.421875" style="91" customWidth="1"/>
    <col min="14" max="14" width="5.140625" style="91" customWidth="1"/>
    <col min="15" max="15" width="11.421875" style="91" customWidth="1"/>
    <col min="16" max="17" width="4.28125" style="91" customWidth="1"/>
    <col min="18" max="18" width="11.421875" style="91" customWidth="1"/>
    <col min="19" max="20" width="5.00390625" style="91" customWidth="1"/>
    <col min="21" max="21" width="18.57421875" style="91" customWidth="1"/>
    <col min="22" max="16384" width="11.421875" style="91" customWidth="1"/>
  </cols>
  <sheetData>
    <row r="1" spans="2:22" ht="27.75" customHeight="1">
      <c r="B1" s="101" t="s">
        <v>58</v>
      </c>
      <c r="C1" s="101" t="str">
        <f>'Bedienung - Mode d''emploi'!I9</f>
        <v>Français</v>
      </c>
      <c r="K1" s="482" t="s">
        <v>240</v>
      </c>
      <c r="L1" s="479"/>
      <c r="M1" s="479"/>
      <c r="N1" s="479"/>
      <c r="O1" s="479"/>
      <c r="P1" s="479"/>
      <c r="Q1" s="479"/>
      <c r="R1" s="479"/>
      <c r="S1" s="479"/>
      <c r="T1" s="479"/>
      <c r="U1" s="479"/>
      <c r="V1" s="479"/>
    </row>
    <row r="2" spans="1:22" ht="12.75">
      <c r="A2" s="99">
        <v>1</v>
      </c>
      <c r="B2" s="100" t="s">
        <v>57</v>
      </c>
      <c r="C2" s="100" t="s">
        <v>130</v>
      </c>
      <c r="D2" s="100" t="s">
        <v>131</v>
      </c>
      <c r="E2" s="100" t="s">
        <v>56</v>
      </c>
      <c r="F2" s="100" t="s">
        <v>55</v>
      </c>
      <c r="K2" s="480" t="s">
        <v>241</v>
      </c>
      <c r="L2" s="480" t="s">
        <v>155</v>
      </c>
      <c r="M2" s="480" t="s">
        <v>29</v>
      </c>
      <c r="N2" s="480"/>
      <c r="O2" s="480" t="s">
        <v>156</v>
      </c>
      <c r="P2" s="480" t="s">
        <v>29</v>
      </c>
      <c r="Q2" s="480"/>
      <c r="R2" s="480" t="s">
        <v>242</v>
      </c>
      <c r="S2" s="480" t="s">
        <v>29</v>
      </c>
      <c r="T2" s="480"/>
      <c r="U2" s="480" t="s">
        <v>243</v>
      </c>
      <c r="V2" s="480" t="s">
        <v>29</v>
      </c>
    </row>
    <row r="3" spans="1:21" ht="12.75">
      <c r="A3" s="92">
        <f>A2+1</f>
        <v>2</v>
      </c>
      <c r="B3" s="91" t="str">
        <f aca="true" t="shared" si="0" ref="B3:B34">HLOOKUP($C$1,$C$2:$F$122,$A3,FALSE)</f>
        <v>Discipline</v>
      </c>
      <c r="C3" s="93" t="s">
        <v>54</v>
      </c>
      <c r="D3" s="93" t="s">
        <v>155</v>
      </c>
      <c r="E3" s="93"/>
      <c r="F3" s="93"/>
      <c r="K3" s="91" t="str">
        <f aca="true" t="shared" si="1" ref="K3:K18">D57</f>
        <v>Aarau</v>
      </c>
      <c r="L3" s="91" t="str">
        <f aca="true" t="shared" si="2" ref="L3:L10">B29</f>
        <v>Libre</v>
      </c>
      <c r="M3" s="91">
        <f>IF('Runden - Tours'!I$10="Match (284 x 142)",1,2)</f>
        <v>2</v>
      </c>
      <c r="O3" s="93" t="s">
        <v>40</v>
      </c>
      <c r="P3" s="93">
        <v>1</v>
      </c>
      <c r="Q3" s="93"/>
      <c r="R3" s="91" t="str">
        <f>B52</f>
        <v>1er tour</v>
      </c>
      <c r="U3" s="91" t="str">
        <f>B49</f>
        <v>Match (284 x 142)</v>
      </c>
    </row>
    <row r="4" spans="1:21" ht="12.75">
      <c r="A4" s="92">
        <f aca="true" t="shared" si="3" ref="A4:A69">A3+1</f>
        <v>3</v>
      </c>
      <c r="B4" s="91" t="str">
        <f t="shared" si="0"/>
        <v>Catégorie</v>
      </c>
      <c r="C4" s="93" t="s">
        <v>73</v>
      </c>
      <c r="D4" s="93" t="s">
        <v>156</v>
      </c>
      <c r="F4" s="93"/>
      <c r="K4" s="91" t="str">
        <f t="shared" si="1"/>
        <v>Basel</v>
      </c>
      <c r="L4" s="91" t="str">
        <f t="shared" si="2"/>
        <v>1 bande</v>
      </c>
      <c r="M4" s="91">
        <f>IF('Runden - Tours'!I$10="Match (284 x 142)",7,8)</f>
        <v>8</v>
      </c>
      <c r="O4" s="93" t="s">
        <v>41</v>
      </c>
      <c r="P4" s="93">
        <v>2</v>
      </c>
      <c r="Q4" s="93"/>
      <c r="R4" s="91" t="str">
        <f>B53</f>
        <v>2e tour</v>
      </c>
      <c r="U4" s="91" t="str">
        <f>B50</f>
        <v>½ Match (252 x 126)</v>
      </c>
    </row>
    <row r="5" spans="1:21" ht="13.5" thickBot="1">
      <c r="A5" s="92">
        <f t="shared" si="3"/>
        <v>4</v>
      </c>
      <c r="B5" s="91" t="str">
        <f t="shared" si="0"/>
        <v>Tour</v>
      </c>
      <c r="C5" s="93" t="s">
        <v>32</v>
      </c>
      <c r="D5" s="93" t="s">
        <v>157</v>
      </c>
      <c r="F5" s="93"/>
      <c r="J5" s="93" t="s">
        <v>223</v>
      </c>
      <c r="K5" s="91" t="str">
        <f t="shared" si="1"/>
        <v>Bern</v>
      </c>
      <c r="L5" s="91" t="str">
        <f t="shared" si="2"/>
        <v>3 bandes</v>
      </c>
      <c r="M5" s="91">
        <f>IF('Runden - Tours'!I$10="Match (284 x 142)",9,10)</f>
        <v>10</v>
      </c>
      <c r="O5" s="93" t="s">
        <v>244</v>
      </c>
      <c r="P5" s="93">
        <v>9</v>
      </c>
      <c r="Q5" s="93"/>
      <c r="R5" s="91" t="str">
        <f>B54</f>
        <v>Demi-finale</v>
      </c>
      <c r="U5" s="91" t="str">
        <f>B51</f>
        <v>½ Match (230 x 115)</v>
      </c>
    </row>
    <row r="6" spans="1:34" ht="13.5" thickBot="1">
      <c r="A6" s="92">
        <f>A5+1</f>
        <v>5</v>
      </c>
      <c r="B6" s="91" t="str">
        <f t="shared" si="0"/>
        <v>Distance de jeu</v>
      </c>
      <c r="C6" s="93" t="s">
        <v>59</v>
      </c>
      <c r="D6" s="93" t="s">
        <v>158</v>
      </c>
      <c r="J6" s="431" t="str">
        <f>CONCATENATE('Runden - Tours'!I3,IF(OR('Runden - Tours'!I3="",'Runden - Tours'!$I$6="")," "," - "),'Runden - Tours'!$I$6,IF('Runden - Tours'!$I$6="","","  "),'Runden - Tours'!$I$7,IF(OR('Runden - Tours'!$I$7="",'Runden - Tours'!$I$8="")," "," - "),'Runden - Tours'!$I$8,IF(OR('Runden - Tours'!$I$8="",'Runden - Tours'!I4=""),""," - "),IF('Runden - Tours'!$I$4&gt;0,DAY('Runden - Tours'!$I$4),""),IF('Runden - Tours'!$I$4&gt;0,".",""),IF('Runden - Tours'!$I$4&gt;0,MONTH('Runden - Tours'!$I$4),""),IF('Runden - Tours'!$I$4&gt;0,".",""),IF('Runden - Tours'!$I$4&gt;0,YEAR('Runden - Tours'!$I$4),""))</f>
        <v>  </v>
      </c>
      <c r="K6" s="430" t="str">
        <f t="shared" si="1"/>
        <v>Biel-Bienne</v>
      </c>
      <c r="L6" s="430" t="str">
        <f t="shared" si="2"/>
        <v>Cadre 47/2</v>
      </c>
      <c r="M6" s="430">
        <v>4</v>
      </c>
      <c r="N6" s="430"/>
      <c r="O6" s="481" t="s">
        <v>245</v>
      </c>
      <c r="P6" s="481">
        <v>3</v>
      </c>
      <c r="Q6" s="481"/>
      <c r="R6" s="430" t="str">
        <f>B55</f>
        <v>Finale</v>
      </c>
      <c r="S6" s="430"/>
      <c r="T6" s="430"/>
      <c r="U6" s="430"/>
      <c r="V6" s="430"/>
      <c r="W6" s="430"/>
      <c r="X6" s="430"/>
      <c r="Y6" s="430"/>
      <c r="Z6" s="430"/>
      <c r="AA6" s="430"/>
      <c r="AB6" s="430"/>
      <c r="AC6" s="430"/>
      <c r="AD6" s="430"/>
      <c r="AE6" s="430"/>
      <c r="AF6" s="430"/>
      <c r="AG6" s="430"/>
      <c r="AH6" s="430"/>
    </row>
    <row r="7" spans="1:17" ht="14.25">
      <c r="A7" s="92">
        <f t="shared" si="3"/>
        <v>6</v>
      </c>
      <c r="B7" s="91" t="str">
        <f t="shared" si="0"/>
        <v>Points/reprises</v>
      </c>
      <c r="C7" s="96" t="s">
        <v>53</v>
      </c>
      <c r="D7" s="96" t="s">
        <v>52</v>
      </c>
      <c r="K7" s="91" t="str">
        <f t="shared" si="1"/>
        <v>La Chaux-de-Fonds</v>
      </c>
      <c r="L7" s="91" t="str">
        <f t="shared" si="2"/>
        <v>Cadre 42/2</v>
      </c>
      <c r="M7" s="91">
        <v>6</v>
      </c>
      <c r="O7" s="93" t="s">
        <v>246</v>
      </c>
      <c r="P7" s="93">
        <v>4</v>
      </c>
      <c r="Q7" s="93"/>
    </row>
    <row r="8" spans="1:17" ht="12.75">
      <c r="A8" s="92">
        <f t="shared" si="3"/>
        <v>7</v>
      </c>
      <c r="B8" s="91" t="str">
        <f t="shared" si="0"/>
        <v>Table (surface de jeu)</v>
      </c>
      <c r="C8" s="95" t="s">
        <v>106</v>
      </c>
      <c r="D8" s="95" t="s">
        <v>159</v>
      </c>
      <c r="K8" s="91" t="str">
        <f t="shared" si="1"/>
        <v>Colombier</v>
      </c>
      <c r="L8" s="91" t="str">
        <f t="shared" si="2"/>
        <v>Cadre 38/2</v>
      </c>
      <c r="M8" s="91">
        <v>6</v>
      </c>
      <c r="O8" s="93" t="s">
        <v>42</v>
      </c>
      <c r="P8" s="93">
        <v>7</v>
      </c>
      <c r="Q8" s="93"/>
    </row>
    <row r="9" spans="1:17" ht="12.75">
      <c r="A9" s="92">
        <f t="shared" si="3"/>
        <v>8</v>
      </c>
      <c r="B9" s="91" t="str">
        <f t="shared" si="0"/>
        <v>Joueur</v>
      </c>
      <c r="C9" s="93" t="s">
        <v>31</v>
      </c>
      <c r="D9" s="93" t="s">
        <v>254</v>
      </c>
      <c r="F9" s="93"/>
      <c r="K9" s="91" t="str">
        <f t="shared" si="1"/>
        <v>Fribourg</v>
      </c>
      <c r="L9" s="91" t="str">
        <f t="shared" si="2"/>
        <v>Cadre 71/2</v>
      </c>
      <c r="M9" s="91">
        <v>3</v>
      </c>
      <c r="O9" s="93" t="s">
        <v>247</v>
      </c>
      <c r="P9" s="93">
        <v>10</v>
      </c>
      <c r="Q9" s="93"/>
    </row>
    <row r="10" spans="1:16" ht="12.75">
      <c r="A10" s="92">
        <f t="shared" si="3"/>
        <v>9</v>
      </c>
      <c r="B10" s="91" t="str">
        <f t="shared" si="0"/>
        <v>Club</v>
      </c>
      <c r="C10" s="91" t="s">
        <v>11</v>
      </c>
      <c r="D10" s="91" t="s">
        <v>11</v>
      </c>
      <c r="F10" s="93"/>
      <c r="K10" s="91" t="str">
        <f t="shared" si="1"/>
        <v>Genève</v>
      </c>
      <c r="L10" s="91" t="str">
        <f t="shared" si="2"/>
        <v>Cadre 47/1</v>
      </c>
      <c r="M10" s="91">
        <v>5</v>
      </c>
      <c r="O10" s="91" t="str">
        <f>B43</f>
        <v>Juniors</v>
      </c>
      <c r="P10" s="91">
        <v>11</v>
      </c>
    </row>
    <row r="11" spans="1:16" ht="12.75">
      <c r="A11" s="92">
        <f t="shared" si="3"/>
        <v>10</v>
      </c>
      <c r="B11" s="91" t="str">
        <f t="shared" si="0"/>
        <v>Date</v>
      </c>
      <c r="C11" s="95" t="s">
        <v>30</v>
      </c>
      <c r="D11" s="94" t="s">
        <v>28</v>
      </c>
      <c r="F11" s="93"/>
      <c r="K11" s="91" t="str">
        <f t="shared" si="1"/>
        <v>Lausanne</v>
      </c>
      <c r="O11" s="91" t="str">
        <f>B44</f>
        <v>Veterans</v>
      </c>
      <c r="P11" s="91">
        <v>12</v>
      </c>
    </row>
    <row r="12" spans="1:11" ht="12.75">
      <c r="A12" s="92">
        <f t="shared" si="3"/>
        <v>11</v>
      </c>
      <c r="B12" s="91" t="str">
        <f t="shared" si="0"/>
        <v>Saison</v>
      </c>
      <c r="C12" s="91" t="s">
        <v>0</v>
      </c>
      <c r="D12" s="91" t="s">
        <v>0</v>
      </c>
      <c r="F12" s="93"/>
      <c r="K12" s="91" t="str">
        <f t="shared" si="1"/>
        <v>Luzern</v>
      </c>
    </row>
    <row r="13" spans="1:11" ht="12.75">
      <c r="A13" s="92">
        <f t="shared" si="3"/>
        <v>12</v>
      </c>
      <c r="B13" s="91" t="str">
        <f t="shared" si="0"/>
        <v>Direction</v>
      </c>
      <c r="C13" s="93" t="s">
        <v>51</v>
      </c>
      <c r="D13" s="91" t="s">
        <v>1</v>
      </c>
      <c r="F13" s="93"/>
      <c r="K13" s="91" t="str">
        <f t="shared" si="1"/>
        <v>Sierre</v>
      </c>
    </row>
    <row r="14" spans="1:11" ht="12.75">
      <c r="A14" s="92">
        <f t="shared" si="3"/>
        <v>13</v>
      </c>
      <c r="B14" s="91" t="str">
        <f t="shared" si="0"/>
        <v>Points</v>
      </c>
      <c r="C14" s="93" t="s">
        <v>33</v>
      </c>
      <c r="D14" s="91" t="s">
        <v>18</v>
      </c>
      <c r="F14" s="93"/>
      <c r="K14" s="91" t="str">
        <f t="shared" si="1"/>
        <v>St Gallen</v>
      </c>
    </row>
    <row r="15" spans="1:11" ht="12.75">
      <c r="A15" s="92">
        <f>A14+1</f>
        <v>14</v>
      </c>
      <c r="B15" s="91" t="str">
        <f t="shared" si="0"/>
        <v>Rep</v>
      </c>
      <c r="C15" s="93" t="s">
        <v>50</v>
      </c>
      <c r="D15" s="91" t="s">
        <v>27</v>
      </c>
      <c r="K15" s="91" t="str">
        <f t="shared" si="1"/>
        <v>Tavannes</v>
      </c>
    </row>
    <row r="16" spans="1:11" ht="12.75">
      <c r="A16" s="92">
        <f t="shared" si="3"/>
        <v>15</v>
      </c>
      <c r="B16" s="91" t="str">
        <f t="shared" si="0"/>
        <v>Série</v>
      </c>
      <c r="C16" s="93" t="s">
        <v>34</v>
      </c>
      <c r="D16" s="91" t="s">
        <v>7</v>
      </c>
      <c r="F16" s="93"/>
      <c r="K16" s="91" t="str">
        <f t="shared" si="1"/>
        <v>Winterthur</v>
      </c>
    </row>
    <row r="17" spans="1:11" ht="12.75">
      <c r="A17" s="92">
        <f t="shared" si="3"/>
        <v>16</v>
      </c>
      <c r="B17" s="91" t="str">
        <f t="shared" si="0"/>
        <v>MP</v>
      </c>
      <c r="C17" s="93" t="s">
        <v>49</v>
      </c>
      <c r="D17" s="91" t="s">
        <v>6</v>
      </c>
      <c r="F17" s="93"/>
      <c r="K17" s="91" t="str">
        <f t="shared" si="1"/>
        <v>Yverdon</v>
      </c>
    </row>
    <row r="18" spans="1:11" ht="12.75">
      <c r="A18" s="92">
        <f t="shared" si="3"/>
        <v>17</v>
      </c>
      <c r="B18" s="91" t="str">
        <f t="shared" si="0"/>
        <v>PM</v>
      </c>
      <c r="C18" s="93" t="s">
        <v>35</v>
      </c>
      <c r="D18" s="91" t="s">
        <v>2</v>
      </c>
      <c r="F18" s="93"/>
      <c r="K18" s="91" t="str">
        <f t="shared" si="1"/>
        <v>Zürich</v>
      </c>
    </row>
    <row r="19" spans="1:6" ht="12.75">
      <c r="A19" s="92">
        <f t="shared" si="3"/>
        <v>18</v>
      </c>
      <c r="B19" s="91" t="str">
        <f t="shared" si="0"/>
        <v>MG</v>
      </c>
      <c r="C19" s="93" t="s">
        <v>99</v>
      </c>
      <c r="D19" s="93" t="s">
        <v>5</v>
      </c>
      <c r="F19" s="93"/>
    </row>
    <row r="20" spans="1:6" ht="12.75">
      <c r="A20" s="92">
        <f t="shared" si="3"/>
        <v>19</v>
      </c>
      <c r="B20" s="91" t="str">
        <f t="shared" si="0"/>
        <v>Pts</v>
      </c>
      <c r="C20" s="93" t="s">
        <v>100</v>
      </c>
      <c r="D20" s="93" t="s">
        <v>3</v>
      </c>
      <c r="F20" s="93"/>
    </row>
    <row r="21" spans="1:6" ht="12.75">
      <c r="A21" s="92">
        <f t="shared" si="3"/>
        <v>20</v>
      </c>
      <c r="B21" s="91" t="str">
        <f t="shared" si="0"/>
        <v>Tour 1</v>
      </c>
      <c r="C21" s="93" t="s">
        <v>60</v>
      </c>
      <c r="D21" s="91" t="s">
        <v>19</v>
      </c>
      <c r="F21" s="93"/>
    </row>
    <row r="22" spans="1:6" ht="12.75">
      <c r="A22" s="92">
        <f t="shared" si="3"/>
        <v>21</v>
      </c>
      <c r="B22" s="91" t="str">
        <f t="shared" si="0"/>
        <v>Tour 2</v>
      </c>
      <c r="C22" s="93" t="s">
        <v>61</v>
      </c>
      <c r="D22" s="91" t="s">
        <v>23</v>
      </c>
      <c r="F22" s="93"/>
    </row>
    <row r="23" spans="1:6" ht="12.75">
      <c r="A23" s="92">
        <f t="shared" si="3"/>
        <v>22</v>
      </c>
      <c r="B23" s="91" t="str">
        <f t="shared" si="0"/>
        <v>Tour 3</v>
      </c>
      <c r="C23" s="93" t="s">
        <v>62</v>
      </c>
      <c r="D23" s="91" t="s">
        <v>24</v>
      </c>
      <c r="F23" s="93"/>
    </row>
    <row r="24" spans="1:6" ht="12.75">
      <c r="A24" s="92">
        <f t="shared" si="3"/>
        <v>23</v>
      </c>
      <c r="B24" s="91" t="str">
        <f t="shared" si="0"/>
        <v>Tour 4</v>
      </c>
      <c r="C24" s="93" t="s">
        <v>63</v>
      </c>
      <c r="D24" s="91" t="s">
        <v>25</v>
      </c>
      <c r="F24" s="93"/>
    </row>
    <row r="25" spans="1:6" ht="12.75">
      <c r="A25" s="92">
        <f t="shared" si="3"/>
        <v>24</v>
      </c>
      <c r="B25" s="91" t="str">
        <f t="shared" si="0"/>
        <v>Tour 5</v>
      </c>
      <c r="C25" s="93" t="s">
        <v>64</v>
      </c>
      <c r="D25" s="91" t="s">
        <v>26</v>
      </c>
      <c r="F25" s="93"/>
    </row>
    <row r="26" spans="1:6" ht="12.75">
      <c r="A26" s="92">
        <f t="shared" si="3"/>
        <v>25</v>
      </c>
      <c r="B26" s="91" t="str">
        <f t="shared" si="0"/>
        <v>Table 1</v>
      </c>
      <c r="C26" s="95" t="s">
        <v>65</v>
      </c>
      <c r="D26" s="94" t="s">
        <v>20</v>
      </c>
      <c r="F26" s="93"/>
    </row>
    <row r="27" spans="1:6" ht="12.75">
      <c r="A27" s="92">
        <f t="shared" si="3"/>
        <v>26</v>
      </c>
      <c r="B27" s="91" t="str">
        <f t="shared" si="0"/>
        <v>Table 2</v>
      </c>
      <c r="C27" s="95" t="s">
        <v>66</v>
      </c>
      <c r="D27" s="94" t="s">
        <v>21</v>
      </c>
      <c r="F27" s="93"/>
    </row>
    <row r="28" spans="1:6" ht="12.75">
      <c r="A28" s="92">
        <f t="shared" si="3"/>
        <v>27</v>
      </c>
      <c r="B28" s="91" t="str">
        <f t="shared" si="0"/>
        <v>Table 3</v>
      </c>
      <c r="C28" s="95" t="s">
        <v>67</v>
      </c>
      <c r="D28" s="94" t="s">
        <v>22</v>
      </c>
      <c r="F28" s="93"/>
    </row>
    <row r="29" spans="1:4" ht="12.75">
      <c r="A29" s="92">
        <f t="shared" si="3"/>
        <v>28</v>
      </c>
      <c r="B29" s="91" t="str">
        <f t="shared" si="0"/>
        <v>Libre</v>
      </c>
      <c r="C29" s="93" t="s">
        <v>68</v>
      </c>
      <c r="D29" s="93" t="s">
        <v>160</v>
      </c>
    </row>
    <row r="30" spans="1:4" ht="12.75">
      <c r="A30" s="92">
        <f t="shared" si="3"/>
        <v>29</v>
      </c>
      <c r="B30" s="91" t="str">
        <f t="shared" si="0"/>
        <v>1 bande</v>
      </c>
      <c r="C30" s="95" t="s">
        <v>69</v>
      </c>
      <c r="D30" s="93" t="s">
        <v>39</v>
      </c>
    </row>
    <row r="31" spans="1:4" ht="12.75">
      <c r="A31" s="92">
        <f t="shared" si="3"/>
        <v>30</v>
      </c>
      <c r="B31" s="91" t="str">
        <f t="shared" si="0"/>
        <v>3 bandes</v>
      </c>
      <c r="C31" s="95" t="s">
        <v>70</v>
      </c>
      <c r="D31" s="93" t="s">
        <v>38</v>
      </c>
    </row>
    <row r="32" spans="1:4" ht="12.75">
      <c r="A32" s="92">
        <f t="shared" si="3"/>
        <v>31</v>
      </c>
      <c r="B32" s="91" t="str">
        <f t="shared" si="0"/>
        <v>Cadre 47/2</v>
      </c>
      <c r="C32" s="93" t="s">
        <v>48</v>
      </c>
      <c r="D32" s="93" t="s">
        <v>48</v>
      </c>
    </row>
    <row r="33" spans="1:4" ht="12.75">
      <c r="A33" s="92">
        <f t="shared" si="3"/>
        <v>32</v>
      </c>
      <c r="B33" s="91" t="str">
        <f t="shared" si="0"/>
        <v>Cadre 42/2</v>
      </c>
      <c r="C33" s="93" t="s">
        <v>47</v>
      </c>
      <c r="D33" s="93" t="s">
        <v>47</v>
      </c>
    </row>
    <row r="34" spans="1:4" ht="12.75">
      <c r="A34" s="92">
        <f t="shared" si="3"/>
        <v>33</v>
      </c>
      <c r="B34" s="91" t="str">
        <f t="shared" si="0"/>
        <v>Cadre 38/2</v>
      </c>
      <c r="C34" s="93" t="s">
        <v>132</v>
      </c>
      <c r="D34" s="93" t="s">
        <v>132</v>
      </c>
    </row>
    <row r="35" spans="1:4" ht="12.75">
      <c r="A35" s="92">
        <f t="shared" si="3"/>
        <v>34</v>
      </c>
      <c r="B35" s="91" t="str">
        <f aca="true" t="shared" si="4" ref="B35:B56">HLOOKUP($C$1,$C$2:$F$122,$A35,FALSE)</f>
        <v>Cadre 71/2</v>
      </c>
      <c r="C35" s="93" t="s">
        <v>46</v>
      </c>
      <c r="D35" s="93" t="s">
        <v>46</v>
      </c>
    </row>
    <row r="36" spans="1:4" ht="12.75">
      <c r="A36" s="92">
        <f t="shared" si="3"/>
        <v>35</v>
      </c>
      <c r="B36" s="91" t="str">
        <f t="shared" si="4"/>
        <v>Cadre 47/1</v>
      </c>
      <c r="C36" s="93" t="s">
        <v>45</v>
      </c>
      <c r="D36" s="93" t="s">
        <v>45</v>
      </c>
    </row>
    <row r="37" spans="1:9" ht="12.75">
      <c r="A37" s="92">
        <f t="shared" si="3"/>
        <v>36</v>
      </c>
      <c r="B37" s="91" t="str">
        <f t="shared" si="4"/>
        <v>Remarques</v>
      </c>
      <c r="C37" s="93" t="s">
        <v>143</v>
      </c>
      <c r="D37" s="93" t="s">
        <v>144</v>
      </c>
      <c r="I37" s="91">
        <f ca="1">OFFSET($B$16,0,$A$6-1,1,1)</f>
        <v>0</v>
      </c>
    </row>
    <row r="38" spans="1:4" ht="12.75">
      <c r="A38" s="92">
        <f>A37+1</f>
        <v>37</v>
      </c>
      <c r="B38" s="91" t="str">
        <f t="shared" si="4"/>
        <v>LR2</v>
      </c>
      <c r="C38" s="93" t="s">
        <v>44</v>
      </c>
      <c r="D38" s="93" t="s">
        <v>44</v>
      </c>
    </row>
    <row r="39" spans="1:4" ht="12.75">
      <c r="A39" s="92">
        <f t="shared" si="3"/>
        <v>38</v>
      </c>
      <c r="B39" s="91" t="str">
        <f t="shared" si="4"/>
        <v>LR1</v>
      </c>
      <c r="C39" s="93" t="s">
        <v>43</v>
      </c>
      <c r="D39" s="93" t="s">
        <v>43</v>
      </c>
    </row>
    <row r="40" spans="1:4" ht="12.75">
      <c r="A40" s="92">
        <f t="shared" si="3"/>
        <v>39</v>
      </c>
      <c r="B40" s="91" t="str">
        <f t="shared" si="4"/>
        <v>LR</v>
      </c>
      <c r="C40" s="93" t="s">
        <v>42</v>
      </c>
      <c r="D40" s="93" t="s">
        <v>42</v>
      </c>
    </row>
    <row r="41" spans="1:4" ht="12.75">
      <c r="A41" s="92">
        <f t="shared" si="3"/>
        <v>40</v>
      </c>
      <c r="B41" s="91" t="str">
        <f t="shared" si="4"/>
        <v>LNB</v>
      </c>
      <c r="C41" s="93" t="s">
        <v>41</v>
      </c>
      <c r="D41" s="93" t="s">
        <v>41</v>
      </c>
    </row>
    <row r="42" spans="1:4" ht="12.75">
      <c r="A42" s="92">
        <f t="shared" si="3"/>
        <v>41</v>
      </c>
      <c r="B42" s="91" t="str">
        <f t="shared" si="4"/>
        <v>LNA</v>
      </c>
      <c r="C42" s="93" t="s">
        <v>40</v>
      </c>
      <c r="D42" s="93" t="s">
        <v>40</v>
      </c>
    </row>
    <row r="43" spans="1:4" ht="12.75">
      <c r="A43" s="92">
        <f t="shared" si="3"/>
        <v>42</v>
      </c>
      <c r="B43" s="91" t="str">
        <f t="shared" si="4"/>
        <v>Juniors</v>
      </c>
      <c r="C43" s="93" t="s">
        <v>72</v>
      </c>
      <c r="D43" s="93" t="s">
        <v>248</v>
      </c>
    </row>
    <row r="44" spans="1:4" ht="12.75">
      <c r="A44" s="92">
        <f t="shared" si="3"/>
        <v>43</v>
      </c>
      <c r="B44" s="91" t="str">
        <f t="shared" si="4"/>
        <v>Veterans</v>
      </c>
      <c r="C44" s="93" t="s">
        <v>71</v>
      </c>
      <c r="D44" s="93" t="s">
        <v>253</v>
      </c>
    </row>
    <row r="45" spans="1:4" ht="12.75">
      <c r="A45" s="92">
        <f t="shared" si="3"/>
        <v>44</v>
      </c>
      <c r="B45" s="91" t="str">
        <f t="shared" si="4"/>
        <v>Moyenne tournoi</v>
      </c>
      <c r="C45" s="93" t="s">
        <v>75</v>
      </c>
      <c r="D45" s="93" t="s">
        <v>74</v>
      </c>
    </row>
    <row r="46" spans="1:4" ht="12.75">
      <c r="A46" s="92">
        <f t="shared" si="3"/>
        <v>45</v>
      </c>
      <c r="B46" s="91" t="str">
        <f t="shared" si="4"/>
        <v>Meilleure MP:</v>
      </c>
      <c r="C46" s="93" t="s">
        <v>295</v>
      </c>
      <c r="D46" s="93" t="s">
        <v>298</v>
      </c>
    </row>
    <row r="47" spans="1:4" ht="12.75">
      <c r="A47" s="92">
        <f t="shared" si="3"/>
        <v>46</v>
      </c>
      <c r="B47" s="91" t="str">
        <f t="shared" si="4"/>
        <v>Meilleure MG:</v>
      </c>
      <c r="C47" s="93" t="s">
        <v>296</v>
      </c>
      <c r="D47" s="93" t="s">
        <v>299</v>
      </c>
    </row>
    <row r="48" spans="1:4" ht="12.75">
      <c r="A48" s="92">
        <f t="shared" si="3"/>
        <v>47</v>
      </c>
      <c r="B48" s="91" t="str">
        <f t="shared" si="4"/>
        <v>Meilleure série:</v>
      </c>
      <c r="C48" s="93" t="s">
        <v>297</v>
      </c>
      <c r="D48" s="93" t="s">
        <v>300</v>
      </c>
    </row>
    <row r="49" spans="1:4" ht="12.75">
      <c r="A49" s="92">
        <f t="shared" si="3"/>
        <v>48</v>
      </c>
      <c r="B49" s="91" t="str">
        <f t="shared" si="4"/>
        <v>Match (284 x 142)</v>
      </c>
      <c r="C49" s="93" t="s">
        <v>152</v>
      </c>
      <c r="D49" s="93" t="s">
        <v>152</v>
      </c>
    </row>
    <row r="50" spans="1:4" ht="12.75">
      <c r="A50" s="92">
        <f t="shared" si="3"/>
        <v>49</v>
      </c>
      <c r="B50" s="91" t="str">
        <f t="shared" si="4"/>
        <v>½ Match (252 x 126)</v>
      </c>
      <c r="C50" s="93" t="s">
        <v>153</v>
      </c>
      <c r="D50" s="93" t="s">
        <v>153</v>
      </c>
    </row>
    <row r="51" spans="1:4" ht="12.75">
      <c r="A51" s="92">
        <f t="shared" si="3"/>
        <v>50</v>
      </c>
      <c r="B51" s="91" t="str">
        <f t="shared" si="4"/>
        <v>½ Match (230 x 115)</v>
      </c>
      <c r="C51" s="93" t="s">
        <v>154</v>
      </c>
      <c r="D51" s="93" t="s">
        <v>154</v>
      </c>
    </row>
    <row r="52" spans="1:4" ht="14.25">
      <c r="A52" s="92">
        <f t="shared" si="3"/>
        <v>51</v>
      </c>
      <c r="B52" s="91" t="str">
        <f t="shared" si="4"/>
        <v>1er tour</v>
      </c>
      <c r="C52" s="93" t="s">
        <v>60</v>
      </c>
      <c r="D52" s="93" t="s">
        <v>76</v>
      </c>
    </row>
    <row r="53" spans="1:4" ht="12.75">
      <c r="A53" s="92">
        <f t="shared" si="3"/>
        <v>52</v>
      </c>
      <c r="B53" s="91" t="str">
        <f t="shared" si="4"/>
        <v>2e tour</v>
      </c>
      <c r="C53" s="93" t="s">
        <v>61</v>
      </c>
      <c r="D53" s="93" t="s">
        <v>77</v>
      </c>
    </row>
    <row r="54" spans="1:4" ht="12.75">
      <c r="A54" s="92">
        <f t="shared" si="3"/>
        <v>53</v>
      </c>
      <c r="B54" s="91" t="str">
        <f t="shared" si="4"/>
        <v>Demi-finale</v>
      </c>
      <c r="C54" s="93" t="s">
        <v>97</v>
      </c>
      <c r="D54" s="93" t="s">
        <v>101</v>
      </c>
    </row>
    <row r="55" spans="1:4" ht="12.75">
      <c r="A55" s="92">
        <f t="shared" si="3"/>
        <v>54</v>
      </c>
      <c r="B55" s="91" t="str">
        <f t="shared" si="4"/>
        <v>Finale</v>
      </c>
      <c r="C55" s="93" t="s">
        <v>98</v>
      </c>
      <c r="D55" s="93" t="s">
        <v>102</v>
      </c>
    </row>
    <row r="56" spans="1:4" ht="12.75">
      <c r="A56" s="92">
        <f t="shared" si="3"/>
        <v>55</v>
      </c>
      <c r="B56" s="91" t="str">
        <f t="shared" si="4"/>
        <v>CHAMPIONNAT INDIVIDUEL FSB – RESULTATS</v>
      </c>
      <c r="C56" s="93" t="s">
        <v>96</v>
      </c>
      <c r="D56" s="91" t="s">
        <v>16</v>
      </c>
    </row>
    <row r="57" spans="1:6" ht="81.75" customHeight="1">
      <c r="A57" s="92">
        <f t="shared" si="3"/>
        <v>56</v>
      </c>
      <c r="B57" t="s">
        <v>78</v>
      </c>
      <c r="C57"/>
      <c r="D57" s="93" t="s">
        <v>192</v>
      </c>
      <c r="E57" s="91">
        <f>IF(ISNA(MATCH('Runden - Tours'!$I$3,ClubsList,0)-1),16,MATCH('Runden - Tours'!$I$3,ClubsList,0)-1)</f>
        <v>16</v>
      </c>
      <c r="F57" s="91">
        <v>13</v>
      </c>
    </row>
    <row r="58" spans="1:6" ht="81.75" customHeight="1">
      <c r="A58" s="92">
        <f t="shared" si="3"/>
        <v>57</v>
      </c>
      <c r="B58" t="s">
        <v>79</v>
      </c>
      <c r="C58"/>
      <c r="D58" s="93" t="s">
        <v>161</v>
      </c>
      <c r="F58" s="91">
        <v>8</v>
      </c>
    </row>
    <row r="59" spans="1:6" ht="81.75" customHeight="1">
      <c r="A59" s="92">
        <f t="shared" si="3"/>
        <v>58</v>
      </c>
      <c r="B59" t="s">
        <v>80</v>
      </c>
      <c r="C59"/>
      <c r="D59" s="93" t="s">
        <v>162</v>
      </c>
      <c r="F59" s="91">
        <v>1</v>
      </c>
    </row>
    <row r="60" spans="1:6" ht="81.75" customHeight="1">
      <c r="A60" s="92">
        <f t="shared" si="3"/>
        <v>59</v>
      </c>
      <c r="B60" t="s">
        <v>81</v>
      </c>
      <c r="C60"/>
      <c r="D60" s="93" t="s">
        <v>193</v>
      </c>
      <c r="F60" s="91">
        <v>6</v>
      </c>
    </row>
    <row r="61" spans="1:6" ht="81.75" customHeight="1">
      <c r="A61" s="92">
        <f t="shared" si="3"/>
        <v>60</v>
      </c>
      <c r="B61" t="s">
        <v>85</v>
      </c>
      <c r="C61"/>
      <c r="D61" s="93" t="s">
        <v>85</v>
      </c>
      <c r="F61" s="91">
        <v>4</v>
      </c>
    </row>
    <row r="62" spans="1:6" ht="81.75" customHeight="1">
      <c r="A62" s="92">
        <f t="shared" si="3"/>
        <v>61</v>
      </c>
      <c r="B62" t="s">
        <v>82</v>
      </c>
      <c r="C62"/>
      <c r="D62" s="93" t="s">
        <v>163</v>
      </c>
      <c r="F62" s="91">
        <v>14</v>
      </c>
    </row>
    <row r="63" spans="1:6" ht="81.75" customHeight="1">
      <c r="A63" s="92">
        <f t="shared" si="3"/>
        <v>62</v>
      </c>
      <c r="B63" t="s">
        <v>83</v>
      </c>
      <c r="C63"/>
      <c r="D63" s="93" t="s">
        <v>164</v>
      </c>
      <c r="F63" s="91">
        <v>3</v>
      </c>
    </row>
    <row r="64" spans="1:6" ht="81.75" customHeight="1">
      <c r="A64" s="92">
        <f t="shared" si="3"/>
        <v>63</v>
      </c>
      <c r="B64" t="s">
        <v>84</v>
      </c>
      <c r="C64"/>
      <c r="D64" s="93" t="s">
        <v>165</v>
      </c>
      <c r="F64" s="91">
        <v>15</v>
      </c>
    </row>
    <row r="65" spans="1:6" ht="81.75" customHeight="1">
      <c r="A65" s="92">
        <f t="shared" si="3"/>
        <v>64</v>
      </c>
      <c r="B65" t="s">
        <v>86</v>
      </c>
      <c r="C65"/>
      <c r="D65" s="93" t="s">
        <v>166</v>
      </c>
      <c r="F65" s="91">
        <v>9</v>
      </c>
    </row>
    <row r="66" spans="1:6" ht="81.75" customHeight="1">
      <c r="A66" s="92">
        <f t="shared" si="3"/>
        <v>65</v>
      </c>
      <c r="B66" t="s">
        <v>87</v>
      </c>
      <c r="C66"/>
      <c r="D66" s="93" t="s">
        <v>167</v>
      </c>
      <c r="F66" s="91">
        <v>5</v>
      </c>
    </row>
    <row r="67" spans="1:6" ht="81.75" customHeight="1">
      <c r="A67" s="92">
        <f t="shared" si="3"/>
        <v>66</v>
      </c>
      <c r="B67" t="s">
        <v>88</v>
      </c>
      <c r="C67"/>
      <c r="D67" s="93" t="s">
        <v>168</v>
      </c>
      <c r="F67" s="91">
        <v>2</v>
      </c>
    </row>
    <row r="68" spans="1:6" ht="81.75" customHeight="1">
      <c r="A68" s="92">
        <f t="shared" si="3"/>
        <v>67</v>
      </c>
      <c r="B68" t="s">
        <v>89</v>
      </c>
      <c r="C68"/>
      <c r="D68" s="93" t="s">
        <v>169</v>
      </c>
      <c r="F68" s="91">
        <v>7</v>
      </c>
    </row>
    <row r="69" spans="1:6" ht="81.75" customHeight="1">
      <c r="A69" s="92">
        <f t="shared" si="3"/>
        <v>68</v>
      </c>
      <c r="B69" t="s">
        <v>90</v>
      </c>
      <c r="C69"/>
      <c r="D69" s="93" t="s">
        <v>170</v>
      </c>
      <c r="F69" s="91">
        <v>16</v>
      </c>
    </row>
    <row r="70" spans="1:6" ht="81.75" customHeight="1">
      <c r="A70" s="92">
        <f aca="true" t="shared" si="5" ref="A70:A79">A69+1</f>
        <v>69</v>
      </c>
      <c r="B70" t="s">
        <v>91</v>
      </c>
      <c r="C70"/>
      <c r="D70" s="93" t="s">
        <v>171</v>
      </c>
      <c r="F70" s="91">
        <v>10</v>
      </c>
    </row>
    <row r="71" spans="1:6" ht="81.75" customHeight="1">
      <c r="A71" s="92">
        <f t="shared" si="5"/>
        <v>70</v>
      </c>
      <c r="B71" t="s">
        <v>92</v>
      </c>
      <c r="C71"/>
      <c r="D71" s="93" t="s">
        <v>172</v>
      </c>
      <c r="F71" s="91">
        <v>17</v>
      </c>
    </row>
    <row r="72" spans="1:6" ht="81.75" customHeight="1">
      <c r="A72" s="92">
        <f t="shared" si="5"/>
        <v>71</v>
      </c>
      <c r="B72" t="s">
        <v>93</v>
      </c>
      <c r="C72"/>
      <c r="D72" s="93" t="s">
        <v>173</v>
      </c>
      <c r="F72" s="91">
        <v>11</v>
      </c>
    </row>
    <row r="73" spans="1:4" ht="81.75" customHeight="1">
      <c r="A73" s="92">
        <f t="shared" si="5"/>
        <v>72</v>
      </c>
      <c r="B73" s="91">
        <f aca="true" t="shared" si="6" ref="B73:B97">HLOOKUP($C$1,$C$2:$F$122,$A73,FALSE)</f>
        <v>0</v>
      </c>
      <c r="C73" s="93"/>
      <c r="D73" s="93"/>
    </row>
    <row r="74" spans="1:4" ht="81.75" customHeight="1">
      <c r="A74" s="92">
        <f t="shared" si="5"/>
        <v>73</v>
      </c>
      <c r="B74" s="91" t="str">
        <f t="shared" si="6"/>
        <v>club</v>
      </c>
      <c r="C74" s="93" t="s">
        <v>94</v>
      </c>
      <c r="D74" s="93" t="s">
        <v>94</v>
      </c>
    </row>
    <row r="75" spans="1:4" ht="81.75" customHeight="1">
      <c r="A75" s="92">
        <f t="shared" si="5"/>
        <v>74</v>
      </c>
      <c r="B75" s="91" t="str">
        <f t="shared" si="6"/>
        <v>club</v>
      </c>
      <c r="C75" s="93" t="s">
        <v>94</v>
      </c>
      <c r="D75" s="93" t="s">
        <v>94</v>
      </c>
    </row>
    <row r="76" spans="1:4" ht="81.75" customHeight="1">
      <c r="A76" s="92">
        <f t="shared" si="5"/>
        <v>75</v>
      </c>
      <c r="B76" s="91" t="str">
        <f t="shared" si="6"/>
        <v>club</v>
      </c>
      <c r="C76" s="93" t="s">
        <v>94</v>
      </c>
      <c r="D76" s="93" t="s">
        <v>94</v>
      </c>
    </row>
    <row r="77" spans="1:4" ht="81.75" customHeight="1">
      <c r="A77" s="92">
        <f t="shared" si="5"/>
        <v>76</v>
      </c>
      <c r="B77" s="91" t="str">
        <f t="shared" si="6"/>
        <v>club</v>
      </c>
      <c r="C77" s="93" t="s">
        <v>94</v>
      </c>
      <c r="D77" s="93" t="s">
        <v>94</v>
      </c>
    </row>
    <row r="78" spans="1:4" ht="81.75" customHeight="1">
      <c r="A78" s="92">
        <f t="shared" si="5"/>
        <v>77</v>
      </c>
      <c r="B78" s="91" t="str">
        <f t="shared" si="6"/>
        <v>club</v>
      </c>
      <c r="C78" s="93" t="s">
        <v>94</v>
      </c>
      <c r="D78" s="93" t="s">
        <v>94</v>
      </c>
    </row>
    <row r="79" spans="1:5" ht="17.25" customHeight="1">
      <c r="A79" s="92">
        <f t="shared" si="5"/>
        <v>78</v>
      </c>
      <c r="B79" s="91" t="str">
        <f t="shared" si="6"/>
        <v>Art. 82 Classement des joueurs individuels et des équipes - (20.11.2011)</v>
      </c>
      <c r="C79" s="103" t="s">
        <v>118</v>
      </c>
      <c r="D79" s="111" t="s">
        <v>107</v>
      </c>
      <c r="E79" s="111"/>
    </row>
    <row r="80" spans="1:10" ht="12" customHeight="1">
      <c r="A80" s="92">
        <f>A79+1</f>
        <v>79</v>
      </c>
      <c r="B80" s="91" t="str">
        <f t="shared" si="6"/>
        <v>Classement des joueurs individuels qui ont joué les uns contre les autres à un tournoi : points de match, rencontre directe, moyenne générale, points de match des rencontres directes, moyenne particulière (meilleure seconde, etc., meilleure série, tirage au sort.</v>
      </c>
      <c r="C80" s="112" t="s">
        <v>230</v>
      </c>
      <c r="D80" s="104" t="s">
        <v>231</v>
      </c>
      <c r="E80" s="104"/>
      <c r="H80" s="104"/>
      <c r="I80" s="104"/>
      <c r="J80" s="104"/>
    </row>
    <row r="81" spans="1:10" ht="12" customHeight="1">
      <c r="A81" s="92">
        <f aca="true" t="shared" si="7" ref="A81:A122">A80+1</f>
        <v>80</v>
      </c>
      <c r="B81" s="91" t="str">
        <f t="shared" si="6"/>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C81" s="93" t="s">
        <v>232</v>
      </c>
      <c r="D81" s="93" t="s">
        <v>233</v>
      </c>
      <c r="E81" s="104"/>
      <c r="H81" s="104"/>
      <c r="I81" s="104"/>
      <c r="J81" s="104"/>
    </row>
    <row r="82" spans="1:8" ht="12" customHeight="1">
      <c r="A82" s="92">
        <f t="shared" si="7"/>
        <v>81</v>
      </c>
      <c r="B82" s="91" t="str">
        <f t="shared" si="6"/>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C82" s="104" t="s">
        <v>119</v>
      </c>
      <c r="D82" s="104" t="s">
        <v>108</v>
      </c>
      <c r="E82" s="104"/>
      <c r="H82" s="104"/>
    </row>
    <row r="83" spans="1:5" ht="12" customHeight="1">
      <c r="A83" s="92">
        <f t="shared" si="7"/>
        <v>82</v>
      </c>
      <c r="B83" s="91" t="str">
        <f t="shared" si="6"/>
        <v>A l'issue de la compétition les joueurs sont classés en fonction du nombre de points de match obtenus En cas d'égalité de points de match au classement final d'une compétition individuelle on procède comme suit : </v>
      </c>
      <c r="C83" s="104" t="s">
        <v>120</v>
      </c>
      <c r="D83" s="104" t="s">
        <v>109</v>
      </c>
      <c r="E83" s="104"/>
    </row>
    <row r="84" spans="1:7" ht="12" customHeight="1">
      <c r="A84" s="92">
        <f t="shared" si="7"/>
        <v>83</v>
      </c>
      <c r="B84" s="91" t="str">
        <f t="shared" si="6"/>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C84" s="104" t="s">
        <v>121</v>
      </c>
      <c r="D84" s="110" t="s">
        <v>127</v>
      </c>
      <c r="G84" s="104"/>
    </row>
    <row r="85" spans="1:8" ht="12" customHeight="1">
      <c r="A85" s="92">
        <f t="shared" si="7"/>
        <v>84</v>
      </c>
      <c r="B85" s="91" t="str">
        <f t="shared" si="6"/>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C85" s="104" t="s">
        <v>122</v>
      </c>
      <c r="D85" s="113" t="s">
        <v>128</v>
      </c>
      <c r="E85" s="113"/>
      <c r="F85" s="113"/>
      <c r="H85" s="104"/>
    </row>
    <row r="86" spans="1:5" ht="12" customHeight="1">
      <c r="A86" s="92">
        <f t="shared" si="7"/>
        <v>85</v>
      </c>
      <c r="B86" s="91" t="str">
        <f t="shared" si="6"/>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C86" s="104" t="s">
        <v>234</v>
      </c>
      <c r="D86" s="104" t="s">
        <v>235</v>
      </c>
      <c r="E86" s="104"/>
    </row>
    <row r="87" spans="1:6" ht="12" customHeight="1">
      <c r="A87" s="92">
        <f t="shared" si="7"/>
        <v>86</v>
      </c>
      <c r="B87" s="91" t="str">
        <f t="shared" si="6"/>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C87" s="104" t="s">
        <v>123</v>
      </c>
      <c r="D87" s="113" t="s">
        <v>129</v>
      </c>
      <c r="E87" s="150"/>
      <c r="F87" s="150"/>
    </row>
    <row r="88" spans="1:9" ht="12" customHeight="1">
      <c r="A88" s="92">
        <f t="shared" si="7"/>
        <v>87</v>
      </c>
      <c r="B88" s="91" t="str">
        <f t="shared" si="6"/>
        <v>Si plus de trois joueurs sont à égalité, celui qui s'est imposé sur tous les autres est classé en tête. Si aucun des joueurs n'a battu tous les autres, on procède par élimination, en appliquant les dispositions ci-dessus.</v>
      </c>
      <c r="C88" s="104" t="s">
        <v>124</v>
      </c>
      <c r="D88" s="104" t="s">
        <v>113</v>
      </c>
      <c r="E88" s="104"/>
      <c r="F88" s="104"/>
      <c r="I88" s="104"/>
    </row>
    <row r="89" spans="1:6" ht="12" customHeight="1">
      <c r="A89" s="92">
        <f t="shared" si="7"/>
        <v>88</v>
      </c>
      <c r="B89" s="91" t="str">
        <f t="shared" si="6"/>
        <v>Une fois le premier joueur désigné, selon points b) et c) ci-dessus, les autres joueurs sont ensuite départagés selon le point a) ci-dessus.</v>
      </c>
      <c r="C89" s="104" t="s">
        <v>125</v>
      </c>
      <c r="D89" s="104" t="s">
        <v>115</v>
      </c>
      <c r="E89" s="113"/>
      <c r="F89" s="113"/>
    </row>
    <row r="90" spans="1:5" ht="12" customHeight="1">
      <c r="A90" s="92">
        <f t="shared" si="7"/>
        <v>89</v>
      </c>
      <c r="B90" s="91" t="str">
        <f t="shared" si="6"/>
        <v>S'il y a égalité de moyenne générale, on retiendra, dans l'ordre, la meilleure moyenne particulière, la deuxième si nécessaire, etc.</v>
      </c>
      <c r="C90" s="104" t="s">
        <v>126</v>
      </c>
      <c r="D90" s="104" t="s">
        <v>117</v>
      </c>
      <c r="E90" s="104"/>
    </row>
    <row r="91" spans="1:5" ht="12" customHeight="1">
      <c r="A91" s="92">
        <f t="shared" si="7"/>
        <v>90</v>
      </c>
      <c r="B91" s="91" t="str">
        <f t="shared" si="6"/>
        <v>Art. 126 Répartition des joueurs sur les groupes éliminatoires et ordre de priorité des parties (30.06.2011)</v>
      </c>
      <c r="C91" s="91" t="s">
        <v>236</v>
      </c>
      <c r="D91" s="91" t="s">
        <v>238</v>
      </c>
      <c r="E91" s="104"/>
    </row>
    <row r="92" spans="1:5" ht="12" customHeight="1">
      <c r="A92" s="92">
        <f t="shared" si="7"/>
        <v>91</v>
      </c>
      <c r="B92" s="91" t="str">
        <f t="shared" si="6"/>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C92" s="93" t="s">
        <v>237</v>
      </c>
      <c r="D92" s="93" t="s">
        <v>239</v>
      </c>
      <c r="E92" s="104"/>
    </row>
    <row r="93" spans="1:5" ht="12" customHeight="1">
      <c r="A93" s="92">
        <f t="shared" si="7"/>
        <v>92</v>
      </c>
      <c r="B93" s="91" t="str">
        <f t="shared" si="6"/>
        <v>Tableau championnat individuel, 6 joueurs, 3 tables</v>
      </c>
      <c r="C93" s="104" t="s">
        <v>141</v>
      </c>
      <c r="D93" s="104" t="s">
        <v>145</v>
      </c>
      <c r="E93" s="104"/>
    </row>
    <row r="94" spans="1:5" ht="12" customHeight="1">
      <c r="A94" s="92">
        <f t="shared" si="7"/>
        <v>93</v>
      </c>
      <c r="B94" s="91" t="str">
        <f t="shared" si="6"/>
        <v>Vous utilisez le tableau championnat individuel, 6 joueurs, chacun contre chacun, 3 tables.</v>
      </c>
      <c r="C94" s="104" t="s">
        <v>133</v>
      </c>
      <c r="D94" s="104" t="s">
        <v>146</v>
      </c>
      <c r="E94" s="104"/>
    </row>
    <row r="95" spans="1:5" ht="12" customHeight="1">
      <c r="A95" s="92">
        <f t="shared" si="7"/>
        <v>94</v>
      </c>
      <c r="B95" s="91" t="str">
        <f t="shared" si="6"/>
        <v>Important: le tableau fonctionne seulement pour cette configuration. S'il y a un autre nombre de joueurs ou de tables, utilisez le tableau approprié !</v>
      </c>
      <c r="C95" s="104" t="s">
        <v>147</v>
      </c>
      <c r="D95" s="104" t="s">
        <v>313</v>
      </c>
      <c r="E95" s="104"/>
    </row>
    <row r="96" spans="1:5" ht="12" customHeight="1">
      <c r="A96" s="92">
        <f t="shared" si="7"/>
        <v>95</v>
      </c>
      <c r="B96" s="91" t="str">
        <f t="shared" si="6"/>
        <v>Vous devez saisir les données seulement dans les cellules blanches de la feuille "Runden-Tours". Le tableau se remplit automatiquement tout seul.</v>
      </c>
      <c r="C96" s="104" t="s">
        <v>139</v>
      </c>
      <c r="D96" s="104" t="s">
        <v>229</v>
      </c>
      <c r="E96" s="104"/>
    </row>
    <row r="97" spans="1:5" ht="12" customHeight="1">
      <c r="A97" s="92">
        <f t="shared" si="7"/>
        <v>96</v>
      </c>
      <c r="B97" s="91" t="str">
        <f t="shared" si="6"/>
        <v>Beaucoup de cellules utilisent des menus déroulants ou vous pouvez sélectionner des données au lieu de les écrire.</v>
      </c>
      <c r="C97" s="104" t="s">
        <v>140</v>
      </c>
      <c r="D97" s="104" t="s">
        <v>314</v>
      </c>
      <c r="E97" s="104"/>
    </row>
    <row r="98" spans="1:5" ht="12" customHeight="1">
      <c r="A98" s="92">
        <f t="shared" si="7"/>
        <v>97</v>
      </c>
      <c r="B98" s="91" t="str">
        <f aca="true" t="shared" si="8" ref="B98:B122">HLOOKUP($C$1,$C$2:$F$122,$A98,FALSE)</f>
        <v>La feuille "Rangliste - Classement" affiche le classement dans l'ordre et donne des précisions en cas d'égalité de PM.</v>
      </c>
      <c r="C98" s="104" t="s">
        <v>303</v>
      </c>
      <c r="D98" s="104" t="s">
        <v>302</v>
      </c>
      <c r="E98" s="104"/>
    </row>
    <row r="99" spans="1:5" ht="12" customHeight="1">
      <c r="A99" s="92">
        <f t="shared" si="7"/>
        <v>98</v>
      </c>
      <c r="B99" s="91" t="str">
        <f t="shared" si="8"/>
        <v>Si un joueur déclare forfait, laissez blanc les cellules de points, reprises et séries de ce match et sélectionnez seulement "Forfait" dans le menu déroulant de ce joueur.</v>
      </c>
      <c r="C99" s="104" t="s">
        <v>134</v>
      </c>
      <c r="D99" s="104" t="s">
        <v>150</v>
      </c>
      <c r="E99" s="104"/>
    </row>
    <row r="100" spans="1:5" ht="12" customHeight="1">
      <c r="A100" s="92">
        <f t="shared" si="7"/>
        <v>99</v>
      </c>
      <c r="B100" s="91" t="str">
        <f t="shared" si="8"/>
        <v>Après le tournoi vous devez envoyer non pas un PDF du Tableau, mais le fichier Excel complet par e-mail à l'adresse suivante :</v>
      </c>
      <c r="C100" s="104" t="s">
        <v>318</v>
      </c>
      <c r="D100" s="104" t="s">
        <v>317</v>
      </c>
      <c r="E100" s="104"/>
    </row>
    <row r="101" spans="1:5" ht="12" customHeight="1">
      <c r="A101" s="92">
        <f t="shared" si="7"/>
        <v>100</v>
      </c>
      <c r="B101" s="91" t="str">
        <f t="shared" si="8"/>
        <v>Tout ce qu'on voit:</v>
      </c>
      <c r="C101" s="104" t="s">
        <v>136</v>
      </c>
      <c r="D101" s="104" t="s">
        <v>151</v>
      </c>
      <c r="E101" s="104"/>
    </row>
    <row r="102" spans="1:5" ht="12" customHeight="1">
      <c r="A102" s="92">
        <f t="shared" si="7"/>
        <v>101</v>
      </c>
      <c r="B102" s="91" t="str">
        <f t="shared" si="8"/>
        <v>Tout ce qu'on ne voit pas (donc, le vrai travail):</v>
      </c>
      <c r="C102" s="104" t="s">
        <v>142</v>
      </c>
      <c r="D102" s="104" t="s">
        <v>316</v>
      </c>
      <c r="E102" s="104"/>
    </row>
    <row r="103" spans="1:5" ht="12" customHeight="1">
      <c r="A103" s="92">
        <f t="shared" si="7"/>
        <v>102</v>
      </c>
      <c r="B103" s="91" t="str">
        <f t="shared" si="8"/>
        <v>Réalisation</v>
      </c>
      <c r="C103" s="104" t="s">
        <v>148</v>
      </c>
      <c r="D103" s="104" t="s">
        <v>149</v>
      </c>
      <c r="E103" s="104"/>
    </row>
    <row r="104" spans="1:5" ht="12" customHeight="1">
      <c r="A104" s="92">
        <f t="shared" si="7"/>
        <v>103</v>
      </c>
      <c r="B104" s="91" t="str">
        <f t="shared" si="8"/>
        <v>Saisissez les données dans les cellules blanches</v>
      </c>
      <c r="C104" s="104" t="s">
        <v>225</v>
      </c>
      <c r="D104" s="104" t="s">
        <v>224</v>
      </c>
      <c r="E104" s="104"/>
    </row>
    <row r="105" spans="1:4" ht="12.75" customHeight="1">
      <c r="A105" s="92">
        <f t="shared" si="7"/>
        <v>104</v>
      </c>
      <c r="B105" s="91" t="str">
        <f t="shared" si="8"/>
        <v>S'il y a 2 joueurs ou plus du même club, ils doivent être plaçés selon les instructions dans la feuille "Reglement - Règlement" !</v>
      </c>
      <c r="C105" s="93" t="s">
        <v>228</v>
      </c>
      <c r="D105" s="93" t="s">
        <v>315</v>
      </c>
    </row>
    <row r="106" spans="1:4" ht="12.75" customHeight="1">
      <c r="A106" s="92">
        <f t="shared" si="7"/>
        <v>105</v>
      </c>
      <c r="B106" s="91" t="str">
        <f t="shared" si="8"/>
        <v>Classement</v>
      </c>
      <c r="C106" s="93" t="s">
        <v>251</v>
      </c>
      <c r="D106" s="93" t="s">
        <v>252</v>
      </c>
    </row>
    <row r="107" spans="1:4" ht="12.75" customHeight="1">
      <c r="A107" s="92">
        <f t="shared" si="7"/>
        <v>106</v>
      </c>
      <c r="B107" s="91" t="str">
        <f t="shared" si="8"/>
        <v> est classé </v>
      </c>
      <c r="C107" s="93" t="s">
        <v>265</v>
      </c>
      <c r="D107" s="93" t="s">
        <v>257</v>
      </c>
    </row>
    <row r="108" spans="1:4" ht="12.75" customHeight="1">
      <c r="A108" s="92">
        <f t="shared" si="7"/>
        <v>107</v>
      </c>
      <c r="B108" s="91" t="str">
        <f t="shared" si="8"/>
        <v> basé sur la rencontre directe. </v>
      </c>
      <c r="C108" s="93" t="s">
        <v>272</v>
      </c>
      <c r="D108" s="93" t="s">
        <v>264</v>
      </c>
    </row>
    <row r="109" spans="1:4" ht="12.75" customHeight="1">
      <c r="A109" s="92">
        <f t="shared" si="7"/>
        <v>108</v>
      </c>
      <c r="B109" s="91" t="str">
        <f t="shared" si="8"/>
        <v> basé sur la meilleure MG.  </v>
      </c>
      <c r="C109" s="93" t="s">
        <v>277</v>
      </c>
      <c r="D109" s="93" t="s">
        <v>283</v>
      </c>
    </row>
    <row r="110" spans="1:4" ht="12.75" customHeight="1">
      <c r="A110" s="92">
        <f t="shared" si="7"/>
        <v>109</v>
      </c>
      <c r="B110" s="91" t="str">
        <f t="shared" si="8"/>
        <v> basé sur la meilleure MP.  </v>
      </c>
      <c r="C110" s="93" t="s">
        <v>278</v>
      </c>
      <c r="D110" s="93" t="s">
        <v>284</v>
      </c>
    </row>
    <row r="111" spans="1:4" ht="12.75" customHeight="1">
      <c r="A111" s="92">
        <f t="shared" si="7"/>
        <v>110</v>
      </c>
      <c r="B111" s="91" t="str">
        <f t="shared" si="8"/>
        <v> basé sur la meilleure 2ème MP.  </v>
      </c>
      <c r="C111" s="93" t="s">
        <v>279</v>
      </c>
      <c r="D111" s="93" t="s">
        <v>285</v>
      </c>
    </row>
    <row r="112" spans="1:4" ht="12.75" customHeight="1">
      <c r="A112" s="92">
        <f t="shared" si="7"/>
        <v>111</v>
      </c>
      <c r="B112" s="91" t="str">
        <f t="shared" si="8"/>
        <v> basé sur la meilleure 3ème MP.  </v>
      </c>
      <c r="C112" s="93" t="s">
        <v>280</v>
      </c>
      <c r="D112" s="93" t="s">
        <v>286</v>
      </c>
    </row>
    <row r="113" spans="1:4" ht="12.75" customHeight="1">
      <c r="A113" s="92">
        <f t="shared" si="7"/>
        <v>112</v>
      </c>
      <c r="B113" s="91" t="str">
        <f t="shared" si="8"/>
        <v> basé sur la meilleure 4ème MP.  </v>
      </c>
      <c r="C113" s="93" t="s">
        <v>281</v>
      </c>
      <c r="D113" s="93" t="s">
        <v>287</v>
      </c>
    </row>
    <row r="114" spans="1:4" ht="12.75" customHeight="1">
      <c r="A114" s="92">
        <f t="shared" si="7"/>
        <v>113</v>
      </c>
      <c r="B114" s="91" t="str">
        <f t="shared" si="8"/>
        <v> basé sur la meilleure 5ème MP.  </v>
      </c>
      <c r="C114" s="93" t="s">
        <v>282</v>
      </c>
      <c r="D114" s="93" t="s">
        <v>288</v>
      </c>
    </row>
    <row r="115" spans="1:4" ht="12.75" customHeight="1">
      <c r="A115" s="92">
        <f t="shared" si="7"/>
        <v>114</v>
      </c>
      <c r="B115" s="91" t="str">
        <f t="shared" si="8"/>
        <v> basé sur la meilleure série.  </v>
      </c>
      <c r="C115" s="93" t="s">
        <v>275</v>
      </c>
      <c r="D115" s="93" t="s">
        <v>276</v>
      </c>
    </row>
    <row r="116" spans="1:4" ht="12.75" customHeight="1">
      <c r="A116" s="92">
        <f t="shared" si="7"/>
        <v>115</v>
      </c>
      <c r="B116" s="91" t="str">
        <f t="shared" si="8"/>
        <v>1er</v>
      </c>
      <c r="C116" s="93" t="s">
        <v>266</v>
      </c>
      <c r="D116" t="s">
        <v>258</v>
      </c>
    </row>
    <row r="117" spans="1:4" ht="12.75" customHeight="1">
      <c r="A117" s="92">
        <f t="shared" si="7"/>
        <v>116</v>
      </c>
      <c r="B117" s="91" t="str">
        <f t="shared" si="8"/>
        <v>2ème</v>
      </c>
      <c r="C117" s="93" t="s">
        <v>267</v>
      </c>
      <c r="D117" t="s">
        <v>259</v>
      </c>
    </row>
    <row r="118" spans="1:4" ht="12.75" customHeight="1">
      <c r="A118" s="92">
        <f t="shared" si="7"/>
        <v>117</v>
      </c>
      <c r="B118" s="91" t="str">
        <f t="shared" si="8"/>
        <v>3ème</v>
      </c>
      <c r="C118" s="93" t="s">
        <v>268</v>
      </c>
      <c r="D118" t="s">
        <v>260</v>
      </c>
    </row>
    <row r="119" spans="1:4" ht="12.75" customHeight="1">
      <c r="A119" s="92">
        <f t="shared" si="7"/>
        <v>118</v>
      </c>
      <c r="B119" s="91" t="str">
        <f t="shared" si="8"/>
        <v>4ème</v>
      </c>
      <c r="C119" s="93" t="s">
        <v>269</v>
      </c>
      <c r="D119" t="s">
        <v>261</v>
      </c>
    </row>
    <row r="120" spans="1:4" ht="12.75" customHeight="1">
      <c r="A120" s="92">
        <f t="shared" si="7"/>
        <v>119</v>
      </c>
      <c r="B120" s="91" t="str">
        <f t="shared" si="8"/>
        <v>5ème</v>
      </c>
      <c r="C120" s="93" t="s">
        <v>270</v>
      </c>
      <c r="D120" t="s">
        <v>262</v>
      </c>
    </row>
    <row r="121" spans="1:4" ht="12.75" customHeight="1">
      <c r="A121" s="92">
        <f t="shared" si="7"/>
        <v>120</v>
      </c>
      <c r="B121" s="91" t="str">
        <f t="shared" si="8"/>
        <v>6ème</v>
      </c>
      <c r="C121" s="93" t="s">
        <v>271</v>
      </c>
      <c r="D121" t="s">
        <v>263</v>
      </c>
    </row>
    <row r="122" spans="1:4" ht="12.75" customHeight="1">
      <c r="A122" s="92">
        <f t="shared" si="7"/>
        <v>121</v>
      </c>
      <c r="B122" s="91" t="str">
        <f t="shared" si="8"/>
        <v>Précision</v>
      </c>
      <c r="C122" s="93" t="s">
        <v>289</v>
      </c>
      <c r="D122" s="93" t="s">
        <v>290</v>
      </c>
    </row>
  </sheetData>
  <sheetProtection password="814D" sheet="1" objects="1" scenarios="1"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dc:creator>
  <cp:keywords/>
  <dc:description/>
  <cp:lastModifiedBy>Zimi</cp:lastModifiedBy>
  <cp:lastPrinted>2011-12-12T20:23:15Z</cp:lastPrinted>
  <dcterms:created xsi:type="dcterms:W3CDTF">2011-10-23T15:25:29Z</dcterms:created>
  <dcterms:modified xsi:type="dcterms:W3CDTF">2012-10-03T13:04:46Z</dcterms:modified>
  <cp:category/>
  <cp:version/>
  <cp:contentType/>
  <cp:contentStatus/>
  <cp:revision>1</cp:revision>
</cp:coreProperties>
</file>